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showInkAnnotation="0"/>
  <mc:AlternateContent xmlns:mc="http://schemas.openxmlformats.org/markup-compatibility/2006">
    <mc:Choice Requires="x15">
      <x15ac:absPath xmlns:x15ac="http://schemas.microsoft.com/office/spreadsheetml/2010/11/ac" url="E:\Downloads\"/>
    </mc:Choice>
  </mc:AlternateContent>
  <xr:revisionPtr revIDLastSave="0" documentId="13_ncr:1_{EAB6ACB9-B128-4738-91E1-691F33EDCEB3}" xr6:coauthVersionLast="46" xr6:coauthVersionMax="46" xr10:uidLastSave="{00000000-0000-0000-0000-000000000000}"/>
  <bookViews>
    <workbookView xWindow="-108" yWindow="-108" windowWidth="33048" windowHeight="21504" tabRatio="582" firstSheet="4" activeTab="12" xr2:uid="{00000000-000D-0000-FFFF-FFFF00000000}"/>
  </bookViews>
  <sheets>
    <sheet name="Assumptions" sheetId="48" r:id="rId1"/>
    <sheet name="Pre-money Valuation" sheetId="49" r:id="rId2"/>
    <sheet name=" Cash Flow Statement" sheetId="6" r:id="rId3"/>
    <sheet name="Balance Sheet" sheetId="5" r:id="rId4"/>
    <sheet name="Profit &amp; Loss Account" sheetId="4" r:id="rId5"/>
    <sheet name="Computations 2" sheetId="3" r:id="rId6"/>
    <sheet name="Computations 1" sheetId="28" r:id="rId7"/>
    <sheet name="1.Revenues and Costs of Sales" sheetId="39" r:id="rId8"/>
    <sheet name="2.Launch costs" sheetId="47" r:id="rId9"/>
    <sheet name="3.Annual Costs" sheetId="35" r:id="rId10"/>
    <sheet name="4.Personnel" sheetId="45" r:id="rId11"/>
    <sheet name="5.Investments" sheetId="46" r:id="rId12"/>
    <sheet name="Template" sheetId="1" r:id="rId13"/>
  </sheets>
  <externalReferences>
    <externalReference r:id="rId14"/>
  </externalReferences>
  <definedNames>
    <definedName name="dcDaysInWeek">7</definedName>
    <definedName name="dcDaysInYear">365</definedName>
    <definedName name="dcMthsInQtr">3</definedName>
    <definedName name="dcMthsInYear">12</definedName>
    <definedName name="dcQtrsInYear">4</definedName>
    <definedName name="dcWeeksInYear">52</definedName>
    <definedName name="dlstOnOff">[1]sysConfig!$C$154:$C$155</definedName>
    <definedName name="dlstPrefixSuffix">[1]sysConfig!$C$157:$C$158</definedName>
    <definedName name="dlstYesNo">[1]sysConfig!$C$151:$C$152</definedName>
    <definedName name="sysClientName">[1]sysConfig!$C$16</definedName>
    <definedName name="sysDataSet">[1]sysConfig!$B$7</definedName>
    <definedName name="sysDataSetMajorVer">'[1]Data Info'!$C$16</definedName>
    <definedName name="sysDataSetMinorVer">'[1]Data Info'!$C$17</definedName>
    <definedName name="sysDataSetName">'[1]Data Info'!$C$14</definedName>
    <definedName name="sysDataSetTag">[1]sysConfig!$C$31</definedName>
    <definedName name="sysFileStub">[1]sysConfig!$C$18</definedName>
    <definedName name="sysForecastStart">'[1]Data Info'!$F$25</definedName>
    <definedName name="sysLastSave">[1]sysConfig!$C$28</definedName>
    <definedName name="sysModelName">[1]sysConfig!$C$17</definedName>
    <definedName name="sysModelTitle">[1]sysConfig!$B$1</definedName>
    <definedName name="sysSaveDateFormat">[1]sysConfig!$C$33</definedName>
    <definedName name="sysVerFormat">[1]sysConfig!$C$32</definedName>
    <definedName name="sysVerLogBuild">[1]sysConfig!$C$26</definedName>
    <definedName name="sysVerLogMajor">[1]sysConfig!$C$24</definedName>
    <definedName name="sysVerLogMinor">[1]sysConfig!$C$25</definedName>
    <definedName name="sysVersion">[1]sysConfig!$B$6</definedName>
    <definedName name="sysVersionTag">[1]sysConfig!$C$30</definedName>
    <definedName name="VersNo">0.22</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6" i="6" l="1"/>
  <c r="D56" i="6"/>
  <c r="E56" i="6"/>
  <c r="F56" i="6"/>
  <c r="G56" i="6"/>
  <c r="B56" i="6"/>
  <c r="C61" i="6"/>
  <c r="D61" i="6"/>
  <c r="E61" i="6"/>
  <c r="F61" i="6"/>
  <c r="G61" i="6"/>
  <c r="B61" i="6"/>
  <c r="D33" i="49"/>
  <c r="E33" i="49"/>
  <c r="F33" i="49"/>
  <c r="G33" i="49"/>
  <c r="H33" i="49"/>
  <c r="H36" i="49"/>
  <c r="C16" i="49"/>
  <c r="C24" i="49"/>
  <c r="G36" i="49"/>
  <c r="F36" i="49"/>
  <c r="E36" i="49"/>
  <c r="D36" i="49"/>
  <c r="C36" i="49"/>
  <c r="C26" i="49"/>
  <c r="C12" i="4"/>
  <c r="D12" i="4"/>
  <c r="E12" i="4"/>
  <c r="F12" i="4"/>
  <c r="G12" i="4"/>
  <c r="B12" i="4"/>
  <c r="C35" i="4"/>
  <c r="D35" i="4"/>
  <c r="E35" i="4"/>
  <c r="F35" i="4"/>
  <c r="G35" i="4"/>
  <c r="C62" i="4"/>
  <c r="D62" i="4"/>
  <c r="E62" i="4"/>
  <c r="F62" i="4"/>
  <c r="G62" i="4"/>
  <c r="C12" i="5"/>
  <c r="C12" i="6"/>
  <c r="D12" i="6"/>
  <c r="E12" i="6"/>
  <c r="F12" i="6"/>
  <c r="G12" i="6"/>
  <c r="B12" i="6"/>
  <c r="C19" i="39"/>
  <c r="C22" i="39"/>
  <c r="B19" i="4"/>
  <c r="D7" i="39"/>
  <c r="D17" i="39"/>
  <c r="H20" i="4"/>
  <c r="I20" i="4"/>
  <c r="J20" i="4"/>
  <c r="K20" i="4"/>
  <c r="L20" i="4"/>
  <c r="M20" i="4"/>
  <c r="N20" i="4"/>
  <c r="G70" i="28"/>
  <c r="G71" i="28"/>
  <c r="F107" i="3"/>
  <c r="C46" i="5"/>
  <c r="C10" i="46"/>
  <c r="H61" i="28"/>
  <c r="B12" i="47"/>
  <c r="G52" i="5"/>
  <c r="H52" i="5"/>
  <c r="G124" i="3"/>
  <c r="D52" i="5"/>
  <c r="H124" i="3"/>
  <c r="E52" i="5"/>
  <c r="I124" i="3"/>
  <c r="F52" i="5"/>
  <c r="J124" i="3"/>
  <c r="K124" i="3"/>
  <c r="F124" i="3"/>
  <c r="C52" i="5"/>
  <c r="B41" i="6"/>
  <c r="F104" i="3"/>
  <c r="G104" i="3"/>
  <c r="F103" i="3"/>
  <c r="C42" i="5"/>
  <c r="F119" i="3"/>
  <c r="F105" i="3"/>
  <c r="C44" i="5"/>
  <c r="F58" i="3"/>
  <c r="F57" i="3"/>
  <c r="G53" i="3"/>
  <c r="H53" i="3"/>
  <c r="I53" i="3"/>
  <c r="J53" i="3"/>
  <c r="K53" i="3"/>
  <c r="G45" i="3"/>
  <c r="H45" i="3"/>
  <c r="I45" i="3"/>
  <c r="J45" i="3"/>
  <c r="K45" i="3"/>
  <c r="F41" i="3"/>
  <c r="F40" i="3"/>
  <c r="B76" i="4"/>
  <c r="B20" i="6"/>
  <c r="H53" i="4"/>
  <c r="I53" i="4"/>
  <c r="J53" i="4"/>
  <c r="K53" i="4"/>
  <c r="L53" i="4"/>
  <c r="M53" i="4"/>
  <c r="N53" i="4"/>
  <c r="G109" i="28"/>
  <c r="H109" i="28"/>
  <c r="G101" i="28"/>
  <c r="G76" i="28"/>
  <c r="H72" i="28"/>
  <c r="I72" i="28"/>
  <c r="J72" i="28"/>
  <c r="K72" i="28"/>
  <c r="L72" i="28"/>
  <c r="G72" i="28"/>
  <c r="G73" i="28"/>
  <c r="A76" i="28"/>
  <c r="A74" i="28"/>
  <c r="A72" i="28"/>
  <c r="G61" i="28"/>
  <c r="G62" i="28"/>
  <c r="G59" i="28"/>
  <c r="G55" i="28"/>
  <c r="F70" i="3"/>
  <c r="H59" i="28"/>
  <c r="J59" i="28"/>
  <c r="K59" i="28"/>
  <c r="L59" i="28"/>
  <c r="A61" i="28"/>
  <c r="I32" i="28"/>
  <c r="D42" i="4"/>
  <c r="J32" i="28"/>
  <c r="E42" i="4"/>
  <c r="K32" i="28"/>
  <c r="F42" i="4"/>
  <c r="L32" i="28"/>
  <c r="G42" i="4"/>
  <c r="H33" i="28"/>
  <c r="C43" i="4"/>
  <c r="H35" i="28"/>
  <c r="C45" i="4"/>
  <c r="K41" i="28"/>
  <c r="F50" i="4"/>
  <c r="L41" i="28"/>
  <c r="G33" i="28"/>
  <c r="B43" i="4"/>
  <c r="G34" i="28"/>
  <c r="B44" i="4"/>
  <c r="G35" i="28"/>
  <c r="B45" i="4"/>
  <c r="G36" i="28"/>
  <c r="B46" i="4"/>
  <c r="G37" i="28"/>
  <c r="F26" i="3"/>
  <c r="G38" i="28"/>
  <c r="B47" i="4"/>
  <c r="G39" i="28"/>
  <c r="G40" i="28"/>
  <c r="B49" i="4"/>
  <c r="G41" i="28"/>
  <c r="B50" i="4"/>
  <c r="G32" i="28"/>
  <c r="B42" i="4"/>
  <c r="G21" i="28"/>
  <c r="B28" i="4"/>
  <c r="G20" i="28"/>
  <c r="B27" i="4"/>
  <c r="G19" i="28"/>
  <c r="B26" i="4"/>
  <c r="H15" i="4"/>
  <c r="I15" i="4"/>
  <c r="J15" i="4"/>
  <c r="K15" i="4"/>
  <c r="L15" i="4"/>
  <c r="M15" i="4"/>
  <c r="N15" i="4"/>
  <c r="F6" i="35"/>
  <c r="G6" i="35"/>
  <c r="E6" i="35"/>
  <c r="C6" i="35"/>
  <c r="H32" i="28"/>
  <c r="C42" i="4"/>
  <c r="G57" i="45"/>
  <c r="G58" i="45"/>
  <c r="G59" i="45"/>
  <c r="H57" i="45"/>
  <c r="H60" i="45"/>
  <c r="F57" i="45"/>
  <c r="E66" i="45"/>
  <c r="E47" i="45"/>
  <c r="F47" i="45"/>
  <c r="E37" i="45"/>
  <c r="F37" i="45"/>
  <c r="G37" i="45"/>
  <c r="E27" i="45"/>
  <c r="F27" i="45"/>
  <c r="E7" i="45"/>
  <c r="F7" i="45"/>
  <c r="F17" i="45"/>
  <c r="G17" i="45"/>
  <c r="H17" i="45"/>
  <c r="E17" i="45"/>
  <c r="E20" i="45"/>
  <c r="B4" i="46"/>
  <c r="C4" i="46"/>
  <c r="D4" i="46"/>
  <c r="E4" i="46"/>
  <c r="F4" i="46"/>
  <c r="G4" i="46"/>
  <c r="E63" i="45"/>
  <c r="D63" i="45"/>
  <c r="E59" i="45"/>
  <c r="H58" i="45"/>
  <c r="H59" i="45"/>
  <c r="E58" i="45"/>
  <c r="D58" i="45"/>
  <c r="D59" i="45"/>
  <c r="D80" i="45"/>
  <c r="H25" i="28"/>
  <c r="C58" i="45"/>
  <c r="C73" i="45"/>
  <c r="C68" i="45"/>
  <c r="D68" i="45"/>
  <c r="D79" i="45"/>
  <c r="H24" i="28"/>
  <c r="C34" i="4"/>
  <c r="D69" i="45"/>
  <c r="D70" i="45"/>
  <c r="D73" i="45"/>
  <c r="D23" i="45"/>
  <c r="C23" i="45"/>
  <c r="E18" i="45"/>
  <c r="E19" i="45"/>
  <c r="D18" i="45"/>
  <c r="D19" i="45"/>
  <c r="C18" i="45"/>
  <c r="C19" i="45"/>
  <c r="D33" i="45"/>
  <c r="D28" i="45"/>
  <c r="D29" i="45"/>
  <c r="D2" i="45"/>
  <c r="E2" i="45"/>
  <c r="F2" i="45"/>
  <c r="G2" i="45"/>
  <c r="H2" i="45"/>
  <c r="E48" i="45"/>
  <c r="D43" i="45"/>
  <c r="D38" i="45"/>
  <c r="D39" i="45"/>
  <c r="D40" i="45"/>
  <c r="D13" i="45"/>
  <c r="D8" i="45"/>
  <c r="D10" i="45"/>
  <c r="D9" i="45"/>
  <c r="C13" i="45"/>
  <c r="E60" i="45"/>
  <c r="C20" i="45"/>
  <c r="D53" i="45"/>
  <c r="D48" i="45"/>
  <c r="D49" i="45"/>
  <c r="D50" i="45"/>
  <c r="C8" i="45"/>
  <c r="C9" i="45"/>
  <c r="C10" i="45"/>
  <c r="B4" i="35"/>
  <c r="C4" i="35"/>
  <c r="D4" i="35"/>
  <c r="E4" i="35"/>
  <c r="F4" i="35"/>
  <c r="G4" i="35"/>
  <c r="D50" i="39"/>
  <c r="H20" i="28"/>
  <c r="E50" i="39"/>
  <c r="F50" i="39"/>
  <c r="I20" i="28"/>
  <c r="D27" i="4"/>
  <c r="C54" i="39"/>
  <c r="D49" i="39"/>
  <c r="E49" i="39"/>
  <c r="F49" i="39"/>
  <c r="G49" i="39"/>
  <c r="H49" i="39"/>
  <c r="K49" i="39"/>
  <c r="D51" i="39"/>
  <c r="H21" i="28"/>
  <c r="C28" i="4"/>
  <c r="D48" i="39"/>
  <c r="D43" i="39"/>
  <c r="E43" i="39"/>
  <c r="F43" i="39"/>
  <c r="G43" i="39"/>
  <c r="H43" i="39"/>
  <c r="C29" i="39"/>
  <c r="C32" i="39"/>
  <c r="C28" i="39"/>
  <c r="D28" i="39"/>
  <c r="E28" i="39"/>
  <c r="F28" i="39"/>
  <c r="G28" i="39"/>
  <c r="H28" i="39"/>
  <c r="D18" i="39"/>
  <c r="E18" i="39"/>
  <c r="F18" i="39"/>
  <c r="G18" i="39"/>
  <c r="H18" i="39"/>
  <c r="C12" i="39"/>
  <c r="B18" i="4"/>
  <c r="D9" i="39"/>
  <c r="D29" i="39"/>
  <c r="D32" i="39"/>
  <c r="H19" i="39"/>
  <c r="H22" i="39"/>
  <c r="G19" i="4"/>
  <c r="D8" i="39"/>
  <c r="E8" i="39"/>
  <c r="F8" i="39"/>
  <c r="G8" i="39"/>
  <c r="H8" i="39"/>
  <c r="H29" i="39"/>
  <c r="H32" i="39"/>
  <c r="D2" i="39"/>
  <c r="E2" i="39"/>
  <c r="F2" i="39"/>
  <c r="G2" i="39"/>
  <c r="H2" i="39"/>
  <c r="C109" i="3"/>
  <c r="E119" i="3"/>
  <c r="F2" i="1"/>
  <c r="G2" i="1"/>
  <c r="H2" i="1"/>
  <c r="I2" i="1"/>
  <c r="J2" i="1"/>
  <c r="K2" i="1"/>
  <c r="L2" i="1"/>
  <c r="M2" i="1"/>
  <c r="N2" i="1"/>
  <c r="O2" i="1"/>
  <c r="P2" i="1"/>
  <c r="Q2" i="1"/>
  <c r="R2" i="1"/>
  <c r="S2" i="1"/>
  <c r="T2" i="1"/>
  <c r="U2" i="1"/>
  <c r="V2" i="1"/>
  <c r="A3" i="1"/>
  <c r="H2" i="28"/>
  <c r="I2" i="28"/>
  <c r="J2" i="28"/>
  <c r="K2" i="28"/>
  <c r="L2" i="28"/>
  <c r="A3" i="28"/>
  <c r="D85" i="28"/>
  <c r="G2" i="3"/>
  <c r="H2" i="3"/>
  <c r="I2" i="3"/>
  <c r="J2" i="3"/>
  <c r="K2" i="3"/>
  <c r="A3" i="3"/>
  <c r="F32" i="3"/>
  <c r="B70" i="4"/>
  <c r="B21" i="6"/>
  <c r="G32" i="3"/>
  <c r="C70" i="4"/>
  <c r="C21" i="6"/>
  <c r="H32" i="3"/>
  <c r="D70" i="4"/>
  <c r="D21" i="6"/>
  <c r="I32" i="3"/>
  <c r="E70" i="4"/>
  <c r="E21" i="6"/>
  <c r="J32" i="3"/>
  <c r="F70" i="4"/>
  <c r="F21" i="6"/>
  <c r="K32" i="3"/>
  <c r="G70" i="4"/>
  <c r="G21" i="6"/>
  <c r="I70" i="4"/>
  <c r="J70" i="4"/>
  <c r="K70" i="4"/>
  <c r="L70" i="4"/>
  <c r="M70" i="4"/>
  <c r="N70" i="4"/>
  <c r="F84" i="3"/>
  <c r="G84" i="3"/>
  <c r="H84" i="3"/>
  <c r="I84" i="3"/>
  <c r="J84" i="3"/>
  <c r="K84" i="3"/>
  <c r="F89" i="3"/>
  <c r="G89" i="3"/>
  <c r="H89" i="3"/>
  <c r="I89" i="3"/>
  <c r="J89" i="3"/>
  <c r="K89" i="3"/>
  <c r="G113" i="3"/>
  <c r="H113" i="3"/>
  <c r="I113" i="3"/>
  <c r="G114" i="3"/>
  <c r="H114" i="3"/>
  <c r="I114" i="3"/>
  <c r="J114" i="3"/>
  <c r="K114" i="3"/>
  <c r="C2" i="4"/>
  <c r="D2" i="4"/>
  <c r="E2" i="4"/>
  <c r="F2" i="4"/>
  <c r="G2" i="4"/>
  <c r="H2" i="4"/>
  <c r="I2" i="4"/>
  <c r="J2" i="4"/>
  <c r="K2" i="4"/>
  <c r="L2" i="4"/>
  <c r="M2" i="4"/>
  <c r="N2" i="4"/>
  <c r="A3" i="4"/>
  <c r="D2" i="5"/>
  <c r="D12" i="5"/>
  <c r="A3" i="5"/>
  <c r="C2" i="6"/>
  <c r="D2" i="6"/>
  <c r="E2" i="6"/>
  <c r="F2" i="6"/>
  <c r="G2" i="6"/>
  <c r="A3" i="6"/>
  <c r="B48" i="6"/>
  <c r="I50" i="4"/>
  <c r="I43" i="4"/>
  <c r="I49" i="4"/>
  <c r="G60" i="45"/>
  <c r="F58" i="45"/>
  <c r="E50" i="45"/>
  <c r="G47" i="45"/>
  <c r="F48" i="45"/>
  <c r="F49" i="45"/>
  <c r="E49" i="45"/>
  <c r="H18" i="45"/>
  <c r="H19" i="45"/>
  <c r="F18" i="45"/>
  <c r="G18" i="45"/>
  <c r="D20" i="45"/>
  <c r="I27" i="4"/>
  <c r="J43" i="4"/>
  <c r="J50" i="4"/>
  <c r="I46" i="4"/>
  <c r="J49" i="4"/>
  <c r="K27" i="4"/>
  <c r="J27" i="4"/>
  <c r="I26" i="4"/>
  <c r="I23" i="4"/>
  <c r="L27" i="4"/>
  <c r="F60" i="45"/>
  <c r="F59" i="45"/>
  <c r="F50" i="45"/>
  <c r="H47" i="45"/>
  <c r="G48" i="45"/>
  <c r="G49" i="45"/>
  <c r="F19" i="45"/>
  <c r="F20" i="45"/>
  <c r="G19" i="45"/>
  <c r="G20" i="45"/>
  <c r="H20" i="45"/>
  <c r="I47" i="4"/>
  <c r="I44" i="4"/>
  <c r="I45" i="4"/>
  <c r="K49" i="4"/>
  <c r="I42" i="4"/>
  <c r="I39" i="4"/>
  <c r="I48" i="4"/>
  <c r="K50" i="4"/>
  <c r="J46" i="4"/>
  <c r="K43" i="4"/>
  <c r="J26" i="4"/>
  <c r="J23" i="4"/>
  <c r="M27" i="4"/>
  <c r="N27" i="4"/>
  <c r="H48" i="45"/>
  <c r="H49" i="45"/>
  <c r="G50" i="45"/>
  <c r="J47" i="4"/>
  <c r="J44" i="4"/>
  <c r="J45" i="4"/>
  <c r="K46" i="4"/>
  <c r="J48" i="4"/>
  <c r="L50" i="4"/>
  <c r="J39" i="4"/>
  <c r="J42" i="4"/>
  <c r="L49" i="4"/>
  <c r="L43" i="4"/>
  <c r="I31" i="4"/>
  <c r="K26" i="4"/>
  <c r="K23" i="4"/>
  <c r="K60" i="4"/>
  <c r="M60" i="4"/>
  <c r="H50" i="45"/>
  <c r="K47" i="4"/>
  <c r="I61" i="4"/>
  <c r="K44" i="4"/>
  <c r="K45" i="4"/>
  <c r="M50" i="4"/>
  <c r="N50" i="4"/>
  <c r="L46" i="4"/>
  <c r="K42" i="4"/>
  <c r="K39" i="4"/>
  <c r="K48" i="4"/>
  <c r="N43" i="4"/>
  <c r="M43" i="4"/>
  <c r="M49" i="4"/>
  <c r="N49" i="4"/>
  <c r="J31" i="4"/>
  <c r="L26" i="4"/>
  <c r="L23" i="4"/>
  <c r="L60" i="4"/>
  <c r="N60" i="4"/>
  <c r="L47" i="4"/>
  <c r="J61" i="4"/>
  <c r="L44" i="4"/>
  <c r="L45" i="4"/>
  <c r="L39" i="4"/>
  <c r="L42" i="4"/>
  <c r="M46" i="4"/>
  <c r="N46" i="4"/>
  <c r="L48" i="4"/>
  <c r="K31" i="4"/>
  <c r="M26" i="4"/>
  <c r="M23" i="4"/>
  <c r="N26" i="4"/>
  <c r="N23" i="4"/>
  <c r="K61" i="4"/>
  <c r="L61" i="4"/>
  <c r="M47" i="4"/>
  <c r="N47" i="4"/>
  <c r="N44" i="4"/>
  <c r="M44" i="4"/>
  <c r="M45" i="4"/>
  <c r="N45" i="4"/>
  <c r="M42" i="4"/>
  <c r="M39" i="4"/>
  <c r="M48" i="4"/>
  <c r="L31" i="4"/>
  <c r="N48" i="4"/>
  <c r="N39" i="4"/>
  <c r="N42" i="4"/>
  <c r="M31" i="4"/>
  <c r="M61" i="4"/>
  <c r="N31" i="4"/>
  <c r="J60" i="4"/>
  <c r="I60" i="4"/>
  <c r="N61" i="4"/>
  <c r="I69" i="4"/>
  <c r="J69" i="4"/>
  <c r="I76" i="4"/>
  <c r="K69" i="4"/>
  <c r="J76" i="4"/>
  <c r="L69" i="4"/>
  <c r="K76" i="4"/>
  <c r="M69" i="4"/>
  <c r="L76" i="4"/>
  <c r="N69" i="4"/>
  <c r="M76" i="4"/>
  <c r="N76" i="4"/>
  <c r="F59" i="3"/>
  <c r="F62" i="3"/>
  <c r="G18" i="28"/>
  <c r="F19" i="3"/>
  <c r="H42" i="4"/>
  <c r="H27" i="4"/>
  <c r="H69" i="4"/>
  <c r="F8" i="45"/>
  <c r="F9" i="45"/>
  <c r="G7" i="45"/>
  <c r="E8" i="45"/>
  <c r="E9" i="45"/>
  <c r="E10" i="45"/>
  <c r="F28" i="45"/>
  <c r="F29" i="45"/>
  <c r="G27" i="45"/>
  <c r="E28" i="45"/>
  <c r="E29" i="45"/>
  <c r="E30" i="45"/>
  <c r="D30" i="45"/>
  <c r="H37" i="45"/>
  <c r="G38" i="45"/>
  <c r="G39" i="45"/>
  <c r="E38" i="45"/>
  <c r="F38" i="45"/>
  <c r="F39" i="45"/>
  <c r="H73" i="28"/>
  <c r="I73" i="28"/>
  <c r="J73" i="28"/>
  <c r="G30" i="28"/>
  <c r="F25" i="3"/>
  <c r="H50" i="4"/>
  <c r="G50" i="4"/>
  <c r="G89" i="28"/>
  <c r="G91" i="28"/>
  <c r="G97" i="28"/>
  <c r="B48" i="4"/>
  <c r="G77" i="28"/>
  <c r="B53" i="4"/>
  <c r="G60" i="28"/>
  <c r="C28" i="45"/>
  <c r="C29" i="45"/>
  <c r="H7" i="45"/>
  <c r="G8" i="45"/>
  <c r="G9" i="45"/>
  <c r="F10" i="45"/>
  <c r="H27" i="45"/>
  <c r="G28" i="45"/>
  <c r="G29" i="45"/>
  <c r="F30" i="45"/>
  <c r="E39" i="45"/>
  <c r="E40" i="45"/>
  <c r="F40" i="45"/>
  <c r="H38" i="45"/>
  <c r="H39" i="45"/>
  <c r="G40" i="45"/>
  <c r="G56" i="28"/>
  <c r="H60" i="28"/>
  <c r="F87" i="3"/>
  <c r="G92" i="28"/>
  <c r="F88" i="3"/>
  <c r="C24" i="5"/>
  <c r="H8" i="45"/>
  <c r="H9" i="45"/>
  <c r="H10" i="45"/>
  <c r="G10" i="45"/>
  <c r="G30" i="45"/>
  <c r="H28" i="45"/>
  <c r="H29" i="45"/>
  <c r="H40" i="45"/>
  <c r="F71" i="3"/>
  <c r="G57" i="28"/>
  <c r="H30" i="45"/>
  <c r="F72" i="3"/>
  <c r="C16" i="5"/>
  <c r="D60" i="45"/>
  <c r="D81" i="45"/>
  <c r="H26" i="28"/>
  <c r="H113" i="28"/>
  <c r="H114" i="28"/>
  <c r="F63" i="45"/>
  <c r="G63" i="45"/>
  <c r="H63" i="45"/>
  <c r="J113" i="3"/>
  <c r="K113" i="3"/>
  <c r="H70" i="4"/>
  <c r="H71" i="28"/>
  <c r="I71" i="28"/>
  <c r="J71" i="28"/>
  <c r="K71" i="28"/>
  <c r="E7" i="39"/>
  <c r="E27" i="39"/>
  <c r="D27" i="39"/>
  <c r="F7" i="39"/>
  <c r="E17" i="39"/>
  <c r="F17" i="39"/>
  <c r="G7" i="39"/>
  <c r="F27" i="39"/>
  <c r="G17" i="39"/>
  <c r="H7" i="39"/>
  <c r="G27" i="39"/>
  <c r="H12" i="39"/>
  <c r="G18" i="4"/>
  <c r="H17" i="39"/>
  <c r="H27" i="39"/>
  <c r="C27" i="4"/>
  <c r="D76" i="45"/>
  <c r="H23" i="28"/>
  <c r="G22" i="3"/>
  <c r="G51" i="3"/>
  <c r="H62" i="28"/>
  <c r="H55" i="28"/>
  <c r="D12" i="39"/>
  <c r="C18" i="4"/>
  <c r="H35" i="39"/>
  <c r="G20" i="4"/>
  <c r="B20" i="4"/>
  <c r="C35" i="39"/>
  <c r="C20" i="4"/>
  <c r="E9" i="39"/>
  <c r="D19" i="39"/>
  <c r="D22" i="39"/>
  <c r="C19" i="4"/>
  <c r="G70" i="3"/>
  <c r="H56" i="28"/>
  <c r="G71" i="3"/>
  <c r="L13" i="28"/>
  <c r="G12" i="35"/>
  <c r="L38" i="28"/>
  <c r="G13" i="35"/>
  <c r="L39" i="28"/>
  <c r="G8" i="46"/>
  <c r="L74" i="28"/>
  <c r="G8" i="35"/>
  <c r="L34" i="28"/>
  <c r="G7" i="35"/>
  <c r="L33" i="28"/>
  <c r="G9" i="46"/>
  <c r="L76" i="28"/>
  <c r="G14" i="35"/>
  <c r="L40" i="28"/>
  <c r="G9" i="35"/>
  <c r="L35" i="28"/>
  <c r="G10" i="35"/>
  <c r="L36" i="28"/>
  <c r="G46" i="4"/>
  <c r="K35" i="39"/>
  <c r="E67" i="45"/>
  <c r="F67" i="45"/>
  <c r="F68" i="45"/>
  <c r="G11" i="35"/>
  <c r="L37" i="28"/>
  <c r="H47" i="4"/>
  <c r="F9" i="39"/>
  <c r="E12" i="39"/>
  <c r="D18" i="4"/>
  <c r="E19" i="39"/>
  <c r="E22" i="39"/>
  <c r="D19" i="4"/>
  <c r="E29" i="39"/>
  <c r="E32" i="39"/>
  <c r="D35" i="39"/>
  <c r="B8" i="46"/>
  <c r="G74" i="28"/>
  <c r="C56" i="39"/>
  <c r="G13" i="28"/>
  <c r="G53" i="4"/>
  <c r="E73" i="45"/>
  <c r="F73" i="45"/>
  <c r="H57" i="28"/>
  <c r="G72" i="3"/>
  <c r="D16" i="5"/>
  <c r="G67" i="45"/>
  <c r="H67" i="45"/>
  <c r="L96" i="28"/>
  <c r="K15" i="3"/>
  <c r="L83" i="28"/>
  <c r="L66" i="28"/>
  <c r="H43" i="4"/>
  <c r="G43" i="4"/>
  <c r="H45" i="4"/>
  <c r="G45" i="4"/>
  <c r="H49" i="4"/>
  <c r="G49" i="4"/>
  <c r="L30" i="28"/>
  <c r="K25" i="3"/>
  <c r="H39" i="4"/>
  <c r="G44" i="4"/>
  <c r="H44" i="4"/>
  <c r="K26" i="3"/>
  <c r="H46" i="4"/>
  <c r="G48" i="4"/>
  <c r="E68" i="45"/>
  <c r="H48" i="4"/>
  <c r="G47" i="4"/>
  <c r="C13" i="35"/>
  <c r="H39" i="28"/>
  <c r="C8" i="35"/>
  <c r="H34" i="28"/>
  <c r="C44" i="4"/>
  <c r="D59" i="39"/>
  <c r="C8" i="46"/>
  <c r="H74" i="28"/>
  <c r="D58" i="39"/>
  <c r="C9" i="46"/>
  <c r="H76" i="28"/>
  <c r="C10" i="35"/>
  <c r="H36" i="28"/>
  <c r="C46" i="4"/>
  <c r="C14" i="35"/>
  <c r="H40" i="28"/>
  <c r="C49" i="4"/>
  <c r="C15" i="35"/>
  <c r="H41" i="28"/>
  <c r="C50" i="4"/>
  <c r="C11" i="35"/>
  <c r="H37" i="28"/>
  <c r="H13" i="28"/>
  <c r="C12" i="35"/>
  <c r="H38" i="28"/>
  <c r="C47" i="4"/>
  <c r="D20" i="4"/>
  <c r="E35" i="39"/>
  <c r="G66" i="28"/>
  <c r="G75" i="28"/>
  <c r="G67" i="28"/>
  <c r="G98" i="28"/>
  <c r="G83" i="28"/>
  <c r="F15" i="3"/>
  <c r="G96" i="28"/>
  <c r="G100" i="28"/>
  <c r="F12" i="39"/>
  <c r="E18" i="4"/>
  <c r="G9" i="39"/>
  <c r="F19" i="39"/>
  <c r="F22" i="39"/>
  <c r="E19" i="4"/>
  <c r="F29" i="39"/>
  <c r="F32" i="39"/>
  <c r="F69" i="45"/>
  <c r="G68" i="45"/>
  <c r="G73" i="45"/>
  <c r="K74" i="3"/>
  <c r="E69" i="45"/>
  <c r="K80" i="3"/>
  <c r="L86" i="28"/>
  <c r="K83" i="3"/>
  <c r="H23" i="5"/>
  <c r="G103" i="28"/>
  <c r="F91" i="3"/>
  <c r="C30" i="5"/>
  <c r="H101" i="28"/>
  <c r="D13" i="35"/>
  <c r="I39" i="28"/>
  <c r="D8" i="35"/>
  <c r="I34" i="28"/>
  <c r="D44" i="4"/>
  <c r="D7" i="35"/>
  <c r="I33" i="28"/>
  <c r="D43" i="4"/>
  <c r="D8" i="46"/>
  <c r="I74" i="28"/>
  <c r="D11" i="35"/>
  <c r="I37" i="28"/>
  <c r="D15" i="35"/>
  <c r="I41" i="28"/>
  <c r="D50" i="4"/>
  <c r="D14" i="35"/>
  <c r="I40" i="28"/>
  <c r="D49" i="4"/>
  <c r="D9" i="35"/>
  <c r="I35" i="28"/>
  <c r="D45" i="4"/>
  <c r="D9" i="46"/>
  <c r="I76" i="28"/>
  <c r="I13" i="28"/>
  <c r="D10" i="35"/>
  <c r="I36" i="28"/>
  <c r="D46" i="4"/>
  <c r="D12" i="35"/>
  <c r="I38" i="28"/>
  <c r="D47" i="4"/>
  <c r="G84" i="28"/>
  <c r="F81" i="3"/>
  <c r="G86" i="28"/>
  <c r="F83" i="3"/>
  <c r="C23" i="5"/>
  <c r="F80" i="3"/>
  <c r="H66" i="28"/>
  <c r="H77" i="28"/>
  <c r="G49" i="28"/>
  <c r="F75" i="3"/>
  <c r="F28" i="3"/>
  <c r="B60" i="4"/>
  <c r="B19" i="6"/>
  <c r="H75" i="28"/>
  <c r="H98" i="28"/>
  <c r="F35" i="39"/>
  <c r="E20" i="4"/>
  <c r="H83" i="28"/>
  <c r="H96" i="28"/>
  <c r="G15" i="3"/>
  <c r="G19" i="39"/>
  <c r="G22" i="39"/>
  <c r="F19" i="4"/>
  <c r="G29" i="39"/>
  <c r="G32" i="39"/>
  <c r="G12" i="39"/>
  <c r="F18" i="4"/>
  <c r="F74" i="3"/>
  <c r="G68" i="28"/>
  <c r="G48" i="28"/>
  <c r="G26" i="3"/>
  <c r="H30" i="28"/>
  <c r="G25" i="3"/>
  <c r="C53" i="4"/>
  <c r="C48" i="4"/>
  <c r="H68" i="45"/>
  <c r="H73" i="45"/>
  <c r="G69" i="45"/>
  <c r="F70" i="45"/>
  <c r="F76" i="3"/>
  <c r="C17" i="5"/>
  <c r="G85" i="28"/>
  <c r="F82" i="3"/>
  <c r="B61" i="4"/>
  <c r="G70" i="45"/>
  <c r="H67" i="28"/>
  <c r="H49" i="28"/>
  <c r="L85" i="28"/>
  <c r="K82" i="3"/>
  <c r="L84" i="28"/>
  <c r="K81" i="3"/>
  <c r="E70" i="45"/>
  <c r="G50" i="28"/>
  <c r="G80" i="3"/>
  <c r="H86" i="28"/>
  <c r="G83" i="3"/>
  <c r="D23" i="5"/>
  <c r="D53" i="4"/>
  <c r="H26" i="3"/>
  <c r="I30" i="28"/>
  <c r="H25" i="3"/>
  <c r="E10" i="35"/>
  <c r="J36" i="28"/>
  <c r="E46" i="4"/>
  <c r="E12" i="35"/>
  <c r="J38" i="28"/>
  <c r="E47" i="4"/>
  <c r="E9" i="46"/>
  <c r="J76" i="28"/>
  <c r="E14" i="35"/>
  <c r="J40" i="28"/>
  <c r="E49" i="4"/>
  <c r="E8" i="35"/>
  <c r="J34" i="28"/>
  <c r="E44" i="4"/>
  <c r="E9" i="35"/>
  <c r="J35" i="28"/>
  <c r="E45" i="4"/>
  <c r="E8" i="46"/>
  <c r="J74" i="28"/>
  <c r="J13" i="28"/>
  <c r="E7" i="35"/>
  <c r="J33" i="28"/>
  <c r="E43" i="4"/>
  <c r="E11" i="35"/>
  <c r="J37" i="28"/>
  <c r="E13" i="35"/>
  <c r="J39" i="28"/>
  <c r="E15" i="35"/>
  <c r="J41" i="28"/>
  <c r="E50" i="4"/>
  <c r="H48" i="28"/>
  <c r="G74" i="3"/>
  <c r="H15" i="3"/>
  <c r="I83" i="28"/>
  <c r="I96" i="28"/>
  <c r="F20" i="4"/>
  <c r="G35" i="39"/>
  <c r="I77" i="28"/>
  <c r="I66" i="28"/>
  <c r="H74" i="3"/>
  <c r="D48" i="4"/>
  <c r="I75" i="28"/>
  <c r="H69" i="45"/>
  <c r="F68" i="3"/>
  <c r="G108" i="28"/>
  <c r="I109" i="28"/>
  <c r="H68" i="28"/>
  <c r="G75" i="3"/>
  <c r="G28" i="3"/>
  <c r="C60" i="4"/>
  <c r="C19" i="6"/>
  <c r="G61" i="4"/>
  <c r="H61" i="4"/>
  <c r="J75" i="28"/>
  <c r="F11" i="35"/>
  <c r="K37" i="28"/>
  <c r="F7" i="35"/>
  <c r="K33" i="28"/>
  <c r="F43" i="4"/>
  <c r="F8" i="35"/>
  <c r="K34" i="28"/>
  <c r="F44" i="4"/>
  <c r="F9" i="46"/>
  <c r="K76" i="28"/>
  <c r="K13" i="28"/>
  <c r="F14" i="35"/>
  <c r="K40" i="28"/>
  <c r="F49" i="4"/>
  <c r="F9" i="35"/>
  <c r="K35" i="28"/>
  <c r="F45" i="4"/>
  <c r="F8" i="46"/>
  <c r="K74" i="28"/>
  <c r="F10" i="35"/>
  <c r="K36" i="28"/>
  <c r="F46" i="4"/>
  <c r="F12" i="35"/>
  <c r="K38" i="28"/>
  <c r="F47" i="4"/>
  <c r="F13" i="35"/>
  <c r="K39" i="28"/>
  <c r="H50" i="28"/>
  <c r="J83" i="28"/>
  <c r="I15" i="3"/>
  <c r="J96" i="28"/>
  <c r="H85" i="28"/>
  <c r="G82" i="3"/>
  <c r="C61" i="4"/>
  <c r="F98" i="3"/>
  <c r="E48" i="4"/>
  <c r="H84" i="28"/>
  <c r="G81" i="3"/>
  <c r="E53" i="4"/>
  <c r="I26" i="3"/>
  <c r="J30" i="28"/>
  <c r="I25" i="3"/>
  <c r="J66" i="28"/>
  <c r="J77" i="28"/>
  <c r="H80" i="3"/>
  <c r="I86" i="28"/>
  <c r="H83" i="3"/>
  <c r="E23" i="5"/>
  <c r="H70" i="45"/>
  <c r="I84" i="28"/>
  <c r="H81" i="3"/>
  <c r="G76" i="3"/>
  <c r="I85" i="28"/>
  <c r="H82" i="3"/>
  <c r="D61" i="4"/>
  <c r="F53" i="4"/>
  <c r="J26" i="3"/>
  <c r="K30" i="28"/>
  <c r="J25" i="3"/>
  <c r="K75" i="28"/>
  <c r="L75" i="28"/>
  <c r="I74" i="3"/>
  <c r="H108" i="28"/>
  <c r="I80" i="3"/>
  <c r="J86" i="28"/>
  <c r="I83" i="3"/>
  <c r="F23" i="5"/>
  <c r="J84" i="28"/>
  <c r="I81" i="3"/>
  <c r="J15" i="3"/>
  <c r="K83" i="28"/>
  <c r="K96" i="28"/>
  <c r="F48" i="4"/>
  <c r="K66" i="28"/>
  <c r="K48" i="28"/>
  <c r="K77" i="28"/>
  <c r="G68" i="3"/>
  <c r="D17" i="5"/>
  <c r="J85" i="28"/>
  <c r="I82" i="3"/>
  <c r="E61" i="4"/>
  <c r="J109" i="28"/>
  <c r="G98" i="3"/>
  <c r="I108" i="28"/>
  <c r="J80" i="3"/>
  <c r="K86" i="28"/>
  <c r="J83" i="3"/>
  <c r="G23" i="5"/>
  <c r="L77" i="28"/>
  <c r="J108" i="28"/>
  <c r="K109" i="28"/>
  <c r="H98" i="3"/>
  <c r="K84" i="28"/>
  <c r="J81" i="3"/>
  <c r="K85" i="28"/>
  <c r="J82" i="3"/>
  <c r="F61" i="4"/>
  <c r="I98" i="3"/>
  <c r="L109" i="28"/>
  <c r="K108" i="28"/>
  <c r="J98" i="3"/>
  <c r="L108" i="28"/>
  <c r="K98" i="3"/>
  <c r="J20" i="28"/>
  <c r="E27" i="4"/>
  <c r="G50" i="39"/>
  <c r="E51" i="39"/>
  <c r="E36" i="45"/>
  <c r="E6" i="45"/>
  <c r="E16" i="45"/>
  <c r="E46" i="45"/>
  <c r="E26" i="45"/>
  <c r="D54" i="39"/>
  <c r="D56" i="39"/>
  <c r="E48" i="39"/>
  <c r="H19" i="28"/>
  <c r="K20" i="28"/>
  <c r="F27" i="4"/>
  <c r="H50" i="39"/>
  <c r="I21" i="28"/>
  <c r="D28" i="4"/>
  <c r="F51" i="39"/>
  <c r="F46" i="45"/>
  <c r="E53" i="45"/>
  <c r="E23" i="45"/>
  <c r="F16" i="45"/>
  <c r="E13" i="45"/>
  <c r="F6" i="45"/>
  <c r="D10" i="46"/>
  <c r="I61" i="28"/>
  <c r="I62" i="28"/>
  <c r="E80" i="45"/>
  <c r="I25" i="28"/>
  <c r="E81" i="45"/>
  <c r="I26" i="28"/>
  <c r="I113" i="28"/>
  <c r="I114" i="28"/>
  <c r="E79" i="45"/>
  <c r="I24" i="28"/>
  <c r="F26" i="45"/>
  <c r="E33" i="45"/>
  <c r="F36" i="45"/>
  <c r="E43" i="45"/>
  <c r="C26" i="4"/>
  <c r="I18" i="28"/>
  <c r="H18" i="28"/>
  <c r="E54" i="39"/>
  <c r="E56" i="39"/>
  <c r="I19" i="28"/>
  <c r="F48" i="39"/>
  <c r="K50" i="39"/>
  <c r="L20" i="28"/>
  <c r="G27" i="4"/>
  <c r="J21" i="28"/>
  <c r="E28" i="4"/>
  <c r="G51" i="39"/>
  <c r="F81" i="45"/>
  <c r="J26" i="28"/>
  <c r="J113" i="28"/>
  <c r="J114" i="28"/>
  <c r="F79" i="45"/>
  <c r="J24" i="28"/>
  <c r="F13" i="45"/>
  <c r="E10" i="46"/>
  <c r="J61" i="28"/>
  <c r="G6" i="45"/>
  <c r="F80" i="45"/>
  <c r="J25" i="28"/>
  <c r="F23" i="45"/>
  <c r="G16" i="45"/>
  <c r="F53" i="45"/>
  <c r="G46" i="45"/>
  <c r="E76" i="45"/>
  <c r="G26" i="45"/>
  <c r="F33" i="45"/>
  <c r="G36" i="45"/>
  <c r="F43" i="45"/>
  <c r="I23" i="28"/>
  <c r="H22" i="3"/>
  <c r="H51" i="3"/>
  <c r="D34" i="4"/>
  <c r="H89" i="28"/>
  <c r="H91" i="28"/>
  <c r="H97" i="28"/>
  <c r="H100" i="28"/>
  <c r="G19" i="3"/>
  <c r="F54" i="39"/>
  <c r="F56" i="39"/>
  <c r="J19" i="28"/>
  <c r="G48" i="39"/>
  <c r="I97" i="28"/>
  <c r="H19" i="3"/>
  <c r="I89" i="28"/>
  <c r="I91" i="28"/>
  <c r="D26" i="4"/>
  <c r="K21" i="28"/>
  <c r="F28" i="4"/>
  <c r="H51" i="39"/>
  <c r="G23" i="45"/>
  <c r="H16" i="45"/>
  <c r="H23" i="45"/>
  <c r="G80" i="45"/>
  <c r="K25" i="28"/>
  <c r="G79" i="45"/>
  <c r="K24" i="28"/>
  <c r="H6" i="45"/>
  <c r="G13" i="45"/>
  <c r="F10" i="46"/>
  <c r="K61" i="28"/>
  <c r="G81" i="45"/>
  <c r="K26" i="28"/>
  <c r="K113" i="28"/>
  <c r="K114" i="28"/>
  <c r="H26" i="45"/>
  <c r="H33" i="45"/>
  <c r="G33" i="45"/>
  <c r="J62" i="28"/>
  <c r="J98" i="28"/>
  <c r="J55" i="28"/>
  <c r="G43" i="45"/>
  <c r="H36" i="45"/>
  <c r="H43" i="45"/>
  <c r="F76" i="45"/>
  <c r="G53" i="45"/>
  <c r="H46" i="45"/>
  <c r="H53" i="45"/>
  <c r="E34" i="4"/>
  <c r="J23" i="28"/>
  <c r="I22" i="3"/>
  <c r="I51" i="3"/>
  <c r="H87" i="3"/>
  <c r="I92" i="28"/>
  <c r="H88" i="3"/>
  <c r="E24" i="5"/>
  <c r="G87" i="3"/>
  <c r="H92" i="28"/>
  <c r="G88" i="3"/>
  <c r="D24" i="5"/>
  <c r="H48" i="39"/>
  <c r="G54" i="39"/>
  <c r="G56" i="39"/>
  <c r="K19" i="28"/>
  <c r="E26" i="4"/>
  <c r="H103" i="28"/>
  <c r="G91" i="3"/>
  <c r="D30" i="5"/>
  <c r="I101" i="28"/>
  <c r="J18" i="28"/>
  <c r="K51" i="39"/>
  <c r="L21" i="28"/>
  <c r="G28" i="4"/>
  <c r="K18" i="28"/>
  <c r="K55" i="28"/>
  <c r="K62" i="28"/>
  <c r="K98" i="28"/>
  <c r="G76" i="45"/>
  <c r="I70" i="3"/>
  <c r="J48" i="28"/>
  <c r="F34" i="4"/>
  <c r="K23" i="28"/>
  <c r="J22" i="3"/>
  <c r="J51" i="3"/>
  <c r="H13" i="45"/>
  <c r="H76" i="45"/>
  <c r="H79" i="45"/>
  <c r="L24" i="28"/>
  <c r="G10" i="46"/>
  <c r="L61" i="28"/>
  <c r="H80" i="45"/>
  <c r="L25" i="28"/>
  <c r="H81" i="45"/>
  <c r="L26" i="28"/>
  <c r="L113" i="28"/>
  <c r="L114" i="28"/>
  <c r="K97" i="28"/>
  <c r="J19" i="3"/>
  <c r="K89" i="28"/>
  <c r="K91" i="28"/>
  <c r="L19" i="28"/>
  <c r="H54" i="39"/>
  <c r="H56" i="39"/>
  <c r="K48" i="39"/>
  <c r="I19" i="3"/>
  <c r="J89" i="28"/>
  <c r="J91" i="28"/>
  <c r="J97" i="28"/>
  <c r="F26" i="4"/>
  <c r="L18" i="28"/>
  <c r="L89" i="28"/>
  <c r="L91" i="28"/>
  <c r="J70" i="3"/>
  <c r="L62" i="28"/>
  <c r="L98" i="28"/>
  <c r="L55" i="28"/>
  <c r="G34" i="4"/>
  <c r="L23" i="28"/>
  <c r="K22" i="3"/>
  <c r="J92" i="28"/>
  <c r="I88" i="3"/>
  <c r="F24" i="5"/>
  <c r="I87" i="3"/>
  <c r="J87" i="3"/>
  <c r="K92" i="28"/>
  <c r="J88" i="3"/>
  <c r="G24" i="5"/>
  <c r="H26" i="4"/>
  <c r="G26" i="4"/>
  <c r="L97" i="28"/>
  <c r="K19" i="3"/>
  <c r="K70" i="3"/>
  <c r="L48" i="28"/>
  <c r="H31" i="4"/>
  <c r="K51" i="3"/>
  <c r="K87" i="3"/>
  <c r="L92" i="28"/>
  <c r="K88" i="3"/>
  <c r="H24" i="5"/>
  <c r="B23" i="4"/>
  <c r="C23" i="4"/>
  <c r="H23" i="4"/>
  <c r="H56" i="4"/>
  <c r="H57" i="4"/>
  <c r="G15" i="4"/>
  <c r="D39" i="4"/>
  <c r="D23" i="4"/>
  <c r="F23" i="4"/>
  <c r="E15" i="4"/>
  <c r="F39" i="4"/>
  <c r="D15" i="4"/>
  <c r="L56" i="4"/>
  <c r="L65" i="4"/>
  <c r="L73" i="4"/>
  <c r="L79" i="4"/>
  <c r="E39" i="4"/>
  <c r="I56" i="4"/>
  <c r="I65" i="4"/>
  <c r="F15" i="4"/>
  <c r="J56" i="4"/>
  <c r="J57" i="4"/>
  <c r="N56" i="4"/>
  <c r="N57" i="4"/>
  <c r="B39" i="4"/>
  <c r="C15" i="4"/>
  <c r="B15" i="4"/>
  <c r="G39" i="4"/>
  <c r="E23" i="4"/>
  <c r="M56" i="4"/>
  <c r="M57" i="4"/>
  <c r="G23" i="4"/>
  <c r="C39" i="4"/>
  <c r="K56" i="4"/>
  <c r="K65" i="4"/>
  <c r="F41" i="6"/>
  <c r="G27" i="5"/>
  <c r="E41" i="6"/>
  <c r="H27" i="5"/>
  <c r="D20" i="5"/>
  <c r="D41" i="6"/>
  <c r="C27" i="5"/>
  <c r="B27" i="6"/>
  <c r="F27" i="5"/>
  <c r="C20" i="5"/>
  <c r="B28" i="6"/>
  <c r="G41" i="6"/>
  <c r="E27" i="5"/>
  <c r="D27" i="5"/>
  <c r="C41" i="6"/>
  <c r="E2" i="5"/>
  <c r="L66" i="4"/>
  <c r="K57" i="4"/>
  <c r="L57" i="4"/>
  <c r="I57" i="4"/>
  <c r="M65" i="4"/>
  <c r="M73" i="4"/>
  <c r="N65" i="4"/>
  <c r="N66" i="4"/>
  <c r="J65" i="4"/>
  <c r="J66" i="4"/>
  <c r="K66" i="4"/>
  <c r="K73" i="4"/>
  <c r="I73" i="4"/>
  <c r="I66" i="4"/>
  <c r="L77" i="4"/>
  <c r="L83" i="4"/>
  <c r="L80" i="4"/>
  <c r="F27" i="6"/>
  <c r="G27" i="6"/>
  <c r="E27" i="6"/>
  <c r="C27" i="6"/>
  <c r="D27" i="6"/>
  <c r="C28" i="6"/>
  <c r="E12" i="5"/>
  <c r="F2" i="5"/>
  <c r="N73" i="4"/>
  <c r="N79" i="4"/>
  <c r="J73" i="4"/>
  <c r="J77" i="4"/>
  <c r="M66" i="4"/>
  <c r="K79" i="4"/>
  <c r="K77" i="4"/>
  <c r="M77" i="4"/>
  <c r="M79" i="4"/>
  <c r="I77" i="4"/>
  <c r="I79" i="4"/>
  <c r="F12" i="5"/>
  <c r="G2" i="5"/>
  <c r="N77" i="4"/>
  <c r="J79" i="4"/>
  <c r="J80" i="4"/>
  <c r="N83" i="4"/>
  <c r="N80" i="4"/>
  <c r="M83" i="4"/>
  <c r="M80" i="4"/>
  <c r="I83" i="4"/>
  <c r="I80" i="4"/>
  <c r="K83" i="4"/>
  <c r="K80" i="4"/>
  <c r="G12" i="5"/>
  <c r="H2" i="5"/>
  <c r="H12" i="5"/>
  <c r="J83" i="4"/>
  <c r="J74" i="3"/>
  <c r="I67" i="28"/>
  <c r="H75" i="3"/>
  <c r="H76" i="3"/>
  <c r="E17" i="5"/>
  <c r="K73" i="28"/>
  <c r="J67" i="28"/>
  <c r="I68" i="28"/>
  <c r="J68" i="28"/>
  <c r="I75" i="3"/>
  <c r="I76" i="3"/>
  <c r="F17" i="5"/>
  <c r="L73" i="28"/>
  <c r="L67" i="28"/>
  <c r="K67" i="28"/>
  <c r="K75" i="3"/>
  <c r="K68" i="28"/>
  <c r="L68" i="28"/>
  <c r="J75" i="3"/>
  <c r="J76" i="3"/>
  <c r="G17" i="5"/>
  <c r="K76" i="3"/>
  <c r="H17" i="5"/>
  <c r="C38" i="45"/>
  <c r="C39" i="45"/>
  <c r="C40" i="45"/>
  <c r="C43" i="5"/>
  <c r="C30" i="45"/>
  <c r="C43" i="45"/>
  <c r="C33" i="45"/>
  <c r="C63" i="45"/>
  <c r="C69" i="45"/>
  <c r="C70" i="45"/>
  <c r="C59" i="45"/>
  <c r="C60" i="45"/>
  <c r="C79" i="45"/>
  <c r="G24" i="28"/>
  <c r="C53" i="45"/>
  <c r="C76" i="45"/>
  <c r="C48" i="45"/>
  <c r="H104" i="3"/>
  <c r="D43" i="5"/>
  <c r="G103" i="3"/>
  <c r="C49" i="45"/>
  <c r="C80" i="45"/>
  <c r="G25" i="28"/>
  <c r="C50" i="45"/>
  <c r="C81" i="45"/>
  <c r="G26" i="28"/>
  <c r="B34" i="4"/>
  <c r="E43" i="5"/>
  <c r="I104" i="3"/>
  <c r="H103" i="3"/>
  <c r="D42" i="5"/>
  <c r="G23" i="28"/>
  <c r="F22" i="3"/>
  <c r="F51" i="3"/>
  <c r="G113" i="28"/>
  <c r="B35" i="4"/>
  <c r="G107" i="28"/>
  <c r="B62" i="4"/>
  <c r="I103" i="3"/>
  <c r="E42" i="5"/>
  <c r="J104" i="3"/>
  <c r="F43" i="5"/>
  <c r="F99" i="3"/>
  <c r="F97" i="3"/>
  <c r="C33" i="5"/>
  <c r="G105" i="28"/>
  <c r="H107" i="28"/>
  <c r="G114" i="28"/>
  <c r="G115" i="28"/>
  <c r="K104" i="3"/>
  <c r="H43" i="5"/>
  <c r="G43" i="5"/>
  <c r="J103" i="3"/>
  <c r="F42" i="5"/>
  <c r="F93" i="3"/>
  <c r="C32" i="5"/>
  <c r="H115" i="28"/>
  <c r="I107" i="28"/>
  <c r="H105" i="28"/>
  <c r="G99" i="3"/>
  <c r="G97" i="3"/>
  <c r="D33" i="5"/>
  <c r="K103" i="3"/>
  <c r="G42" i="5"/>
  <c r="J107" i="28"/>
  <c r="H99" i="3"/>
  <c r="H97" i="3"/>
  <c r="E33" i="5"/>
  <c r="I105" i="28"/>
  <c r="G93" i="3"/>
  <c r="D32" i="5"/>
  <c r="I115" i="28"/>
  <c r="H42" i="5"/>
  <c r="J115" i="28"/>
  <c r="H93" i="3"/>
  <c r="E32" i="5"/>
  <c r="K107" i="28"/>
  <c r="J105" i="28"/>
  <c r="I99" i="3"/>
  <c r="I97" i="3"/>
  <c r="F33" i="5"/>
  <c r="I93" i="3"/>
  <c r="F32" i="5"/>
  <c r="K115" i="28"/>
  <c r="J99" i="3"/>
  <c r="J97" i="3"/>
  <c r="G33" i="5"/>
  <c r="L107" i="28"/>
  <c r="K105" i="28"/>
  <c r="K99" i="3"/>
  <c r="K97" i="3"/>
  <c r="H33" i="5"/>
  <c r="L105" i="28"/>
  <c r="L115" i="28"/>
  <c r="K93" i="3"/>
  <c r="H32" i="5"/>
  <c r="J93" i="3"/>
  <c r="G32" i="5"/>
  <c r="B16" i="6"/>
  <c r="C16" i="6"/>
  <c r="D16" i="6"/>
  <c r="E16" i="6"/>
  <c r="F16" i="6"/>
  <c r="G16" i="6"/>
  <c r="D19" i="6"/>
  <c r="E19" i="6"/>
  <c r="F19" i="6"/>
  <c r="G19" i="6"/>
  <c r="C20" i="6"/>
  <c r="D20" i="6"/>
  <c r="E20" i="6"/>
  <c r="F20" i="6"/>
  <c r="G20" i="6"/>
  <c r="B24" i="6"/>
  <c r="C24" i="6"/>
  <c r="D24" i="6"/>
  <c r="E24" i="6"/>
  <c r="F24" i="6"/>
  <c r="G24" i="6"/>
  <c r="D28" i="6"/>
  <c r="E28" i="6"/>
  <c r="F28" i="6"/>
  <c r="G28" i="6"/>
  <c r="B29" i="6"/>
  <c r="C29" i="6"/>
  <c r="D29" i="6"/>
  <c r="E29" i="6"/>
  <c r="F29" i="6"/>
  <c r="G29" i="6"/>
  <c r="B32" i="6"/>
  <c r="C32" i="6"/>
  <c r="D32" i="6"/>
  <c r="E32" i="6"/>
  <c r="F32" i="6"/>
  <c r="G32" i="6"/>
  <c r="B35" i="6"/>
  <c r="C35" i="6"/>
  <c r="D35" i="6"/>
  <c r="E35" i="6"/>
  <c r="F35" i="6"/>
  <c r="G35" i="6"/>
  <c r="B38" i="6"/>
  <c r="C38" i="6"/>
  <c r="D38" i="6"/>
  <c r="E38" i="6"/>
  <c r="F38" i="6"/>
  <c r="G38" i="6"/>
  <c r="B42" i="6"/>
  <c r="C42" i="6"/>
  <c r="D42" i="6"/>
  <c r="E42" i="6"/>
  <c r="F42" i="6"/>
  <c r="G42" i="6"/>
  <c r="B45" i="6"/>
  <c r="C45" i="6"/>
  <c r="D45" i="6"/>
  <c r="E45" i="6"/>
  <c r="F45" i="6"/>
  <c r="G45" i="6"/>
  <c r="C48" i="6"/>
  <c r="D48" i="6"/>
  <c r="E48" i="6"/>
  <c r="F48" i="6"/>
  <c r="G48" i="6"/>
  <c r="B51" i="6"/>
  <c r="C51" i="6"/>
  <c r="D51" i="6"/>
  <c r="E51" i="6"/>
  <c r="F51" i="6"/>
  <c r="G51" i="6"/>
  <c r="B59" i="6"/>
  <c r="C59" i="6"/>
  <c r="D59" i="6"/>
  <c r="E59" i="6"/>
  <c r="F59" i="6"/>
  <c r="G59" i="6"/>
  <c r="B60" i="6"/>
  <c r="C60" i="6"/>
  <c r="D60" i="6"/>
  <c r="E60" i="6"/>
  <c r="F60" i="6"/>
  <c r="G60" i="6"/>
  <c r="B62" i="6"/>
  <c r="C62" i="6"/>
  <c r="D62" i="6"/>
  <c r="E62" i="6"/>
  <c r="F62" i="6"/>
  <c r="G62" i="6"/>
  <c r="D6" i="46"/>
  <c r="E16" i="5"/>
  <c r="F16" i="5"/>
  <c r="G16" i="5"/>
  <c r="H16" i="5"/>
  <c r="E20" i="5"/>
  <c r="F20" i="5"/>
  <c r="G20" i="5"/>
  <c r="H20" i="5"/>
  <c r="E30" i="5"/>
  <c r="F30" i="5"/>
  <c r="G30" i="5"/>
  <c r="H30" i="5"/>
  <c r="C31" i="5"/>
  <c r="D31" i="5"/>
  <c r="E31" i="5"/>
  <c r="F31" i="5"/>
  <c r="G31" i="5"/>
  <c r="H31" i="5"/>
  <c r="C36" i="5"/>
  <c r="D36" i="5"/>
  <c r="E36" i="5"/>
  <c r="F36" i="5"/>
  <c r="G36" i="5"/>
  <c r="H36" i="5"/>
  <c r="C39" i="5"/>
  <c r="D39" i="5"/>
  <c r="E39" i="5"/>
  <c r="F39" i="5"/>
  <c r="G39" i="5"/>
  <c r="H39" i="5"/>
  <c r="D44" i="5"/>
  <c r="E44" i="5"/>
  <c r="F44" i="5"/>
  <c r="G44" i="5"/>
  <c r="H44" i="5"/>
  <c r="C45" i="5"/>
  <c r="D45" i="5"/>
  <c r="E45" i="5"/>
  <c r="F45" i="5"/>
  <c r="G45" i="5"/>
  <c r="H45" i="5"/>
  <c r="D46" i="5"/>
  <c r="E46" i="5"/>
  <c r="F46" i="5"/>
  <c r="G46" i="5"/>
  <c r="H46" i="5"/>
  <c r="C49" i="5"/>
  <c r="D49" i="5"/>
  <c r="E49" i="5"/>
  <c r="F49" i="5"/>
  <c r="G49" i="5"/>
  <c r="H49" i="5"/>
  <c r="C53" i="5"/>
  <c r="D53" i="5"/>
  <c r="E53" i="5"/>
  <c r="F53" i="5"/>
  <c r="G53" i="5"/>
  <c r="H53" i="5"/>
  <c r="C56" i="5"/>
  <c r="D56" i="5"/>
  <c r="E56" i="5"/>
  <c r="F56" i="5"/>
  <c r="G56" i="5"/>
  <c r="H56" i="5"/>
  <c r="C59" i="5"/>
  <c r="D59" i="5"/>
  <c r="E59" i="5"/>
  <c r="F59" i="5"/>
  <c r="G59" i="5"/>
  <c r="H59" i="5"/>
  <c r="I48" i="28"/>
  <c r="I49" i="28"/>
  <c r="J49" i="28"/>
  <c r="K49" i="28"/>
  <c r="L49" i="28"/>
  <c r="I50" i="28"/>
  <c r="J50" i="28"/>
  <c r="K50" i="28"/>
  <c r="L50" i="28"/>
  <c r="I55" i="28"/>
  <c r="I56" i="28"/>
  <c r="J56" i="28"/>
  <c r="K56" i="28"/>
  <c r="L56" i="28"/>
  <c r="I57" i="28"/>
  <c r="J57" i="28"/>
  <c r="K57" i="28"/>
  <c r="L57" i="28"/>
  <c r="I59" i="28"/>
  <c r="I60" i="28"/>
  <c r="J60" i="28"/>
  <c r="K60" i="28"/>
  <c r="L60" i="28"/>
  <c r="I98" i="28"/>
  <c r="I100" i="28"/>
  <c r="J100" i="28"/>
  <c r="K100" i="28"/>
  <c r="L100" i="28"/>
  <c r="J101" i="28"/>
  <c r="K101" i="28"/>
  <c r="L101" i="28"/>
  <c r="I103" i="28"/>
  <c r="J103" i="28"/>
  <c r="K103" i="28"/>
  <c r="L103" i="28"/>
  <c r="F23" i="3"/>
  <c r="G23" i="3"/>
  <c r="H23" i="3"/>
  <c r="I23" i="3"/>
  <c r="J23" i="3"/>
  <c r="K23" i="3"/>
  <c r="H28" i="3"/>
  <c r="I28" i="3"/>
  <c r="J28" i="3"/>
  <c r="K28" i="3"/>
  <c r="F30" i="3"/>
  <c r="G30" i="3"/>
  <c r="H30" i="3"/>
  <c r="I30" i="3"/>
  <c r="J30" i="3"/>
  <c r="K30" i="3"/>
  <c r="F39" i="3"/>
  <c r="G39" i="3"/>
  <c r="H39" i="3"/>
  <c r="I39" i="3"/>
  <c r="J39" i="3"/>
  <c r="K39" i="3"/>
  <c r="G40" i="3"/>
  <c r="H40" i="3"/>
  <c r="I40" i="3"/>
  <c r="J40" i="3"/>
  <c r="K40" i="3"/>
  <c r="G41" i="3"/>
  <c r="H41" i="3"/>
  <c r="I41" i="3"/>
  <c r="J41" i="3"/>
  <c r="K41" i="3"/>
  <c r="F42" i="3"/>
  <c r="G42" i="3"/>
  <c r="H42" i="3"/>
  <c r="I42" i="3"/>
  <c r="J42" i="3"/>
  <c r="K42" i="3"/>
  <c r="F43" i="3"/>
  <c r="G43" i="3"/>
  <c r="H43" i="3"/>
  <c r="I43" i="3"/>
  <c r="J43" i="3"/>
  <c r="K43" i="3"/>
  <c r="F46" i="3"/>
  <c r="G46" i="3"/>
  <c r="H46" i="3"/>
  <c r="I46" i="3"/>
  <c r="J46" i="3"/>
  <c r="K46" i="3"/>
  <c r="F49" i="3"/>
  <c r="G49" i="3"/>
  <c r="H49" i="3"/>
  <c r="I49" i="3"/>
  <c r="J49" i="3"/>
  <c r="K49" i="3"/>
  <c r="F50" i="3"/>
  <c r="G50" i="3"/>
  <c r="H50" i="3"/>
  <c r="I50" i="3"/>
  <c r="J50" i="3"/>
  <c r="K50" i="3"/>
  <c r="F52" i="3"/>
  <c r="G52" i="3"/>
  <c r="H52" i="3"/>
  <c r="I52" i="3"/>
  <c r="J52" i="3"/>
  <c r="K52" i="3"/>
  <c r="F54" i="3"/>
  <c r="G54" i="3"/>
  <c r="H54" i="3"/>
  <c r="I54" i="3"/>
  <c r="J54" i="3"/>
  <c r="K54" i="3"/>
  <c r="F56" i="3"/>
  <c r="G56" i="3"/>
  <c r="H56" i="3"/>
  <c r="I56" i="3"/>
  <c r="J56" i="3"/>
  <c r="K56" i="3"/>
  <c r="G57" i="3"/>
  <c r="H57" i="3"/>
  <c r="I57" i="3"/>
  <c r="J57" i="3"/>
  <c r="K57" i="3"/>
  <c r="G58" i="3"/>
  <c r="H58" i="3"/>
  <c r="I58" i="3"/>
  <c r="J58" i="3"/>
  <c r="K58" i="3"/>
  <c r="G59" i="3"/>
  <c r="H59" i="3"/>
  <c r="I59" i="3"/>
  <c r="J59" i="3"/>
  <c r="K59" i="3"/>
  <c r="F61" i="3"/>
  <c r="G61" i="3"/>
  <c r="H61" i="3"/>
  <c r="I61" i="3"/>
  <c r="J61" i="3"/>
  <c r="K61" i="3"/>
  <c r="G62" i="3"/>
  <c r="H62" i="3"/>
  <c r="I62" i="3"/>
  <c r="J62" i="3"/>
  <c r="K62" i="3"/>
  <c r="F63" i="3"/>
  <c r="G63" i="3"/>
  <c r="H63" i="3"/>
  <c r="I63" i="3"/>
  <c r="J63" i="3"/>
  <c r="K63" i="3"/>
  <c r="H68" i="3"/>
  <c r="I68" i="3"/>
  <c r="J68" i="3"/>
  <c r="K68" i="3"/>
  <c r="H70" i="3"/>
  <c r="H71" i="3"/>
  <c r="I71" i="3"/>
  <c r="J71" i="3"/>
  <c r="K71" i="3"/>
  <c r="H72" i="3"/>
  <c r="I72" i="3"/>
  <c r="J72" i="3"/>
  <c r="K72" i="3"/>
  <c r="H91" i="3"/>
  <c r="I91" i="3"/>
  <c r="J91" i="3"/>
  <c r="K91" i="3"/>
  <c r="F102" i="3"/>
  <c r="G102" i="3"/>
  <c r="H102" i="3"/>
  <c r="I102" i="3"/>
  <c r="J102" i="3"/>
  <c r="K102" i="3"/>
  <c r="G105" i="3"/>
  <c r="H105" i="3"/>
  <c r="I105" i="3"/>
  <c r="J105" i="3"/>
  <c r="K105" i="3"/>
  <c r="F106" i="3"/>
  <c r="G106" i="3"/>
  <c r="H106" i="3"/>
  <c r="I106" i="3"/>
  <c r="J106" i="3"/>
  <c r="K106" i="3"/>
  <c r="G107" i="3"/>
  <c r="H107" i="3"/>
  <c r="I107" i="3"/>
  <c r="J107" i="3"/>
  <c r="K107" i="3"/>
  <c r="C119" i="3"/>
  <c r="G119" i="3"/>
  <c r="H119" i="3"/>
  <c r="I119" i="3"/>
  <c r="J119" i="3"/>
  <c r="K119" i="3"/>
  <c r="E121" i="3"/>
  <c r="C37" i="49"/>
  <c r="D37" i="49"/>
  <c r="E37" i="49"/>
  <c r="F37" i="49"/>
  <c r="G37" i="49"/>
  <c r="H37" i="49"/>
  <c r="I37" i="49"/>
  <c r="C40" i="49"/>
  <c r="B31" i="4"/>
  <c r="C31" i="4"/>
  <c r="D31" i="4"/>
  <c r="E31" i="4"/>
  <c r="F31" i="4"/>
  <c r="G31" i="4"/>
  <c r="B36" i="4"/>
  <c r="C36" i="4"/>
  <c r="D36" i="4"/>
  <c r="E36" i="4"/>
  <c r="F36" i="4"/>
  <c r="G36" i="4"/>
  <c r="B56" i="4"/>
  <c r="C56" i="4"/>
  <c r="D56" i="4"/>
  <c r="E56" i="4"/>
  <c r="F56" i="4"/>
  <c r="G56" i="4"/>
  <c r="B57" i="4"/>
  <c r="C57" i="4"/>
  <c r="D57" i="4"/>
  <c r="E57" i="4"/>
  <c r="F57" i="4"/>
  <c r="G57" i="4"/>
  <c r="D60" i="4"/>
  <c r="E60" i="4"/>
  <c r="F60" i="4"/>
  <c r="G60" i="4"/>
  <c r="H60" i="4"/>
  <c r="B65" i="4"/>
  <c r="C65" i="4"/>
  <c r="D65" i="4"/>
  <c r="E65" i="4"/>
  <c r="F65" i="4"/>
  <c r="G65" i="4"/>
  <c r="H65" i="4"/>
  <c r="B66" i="4"/>
  <c r="C66" i="4"/>
  <c r="D66" i="4"/>
  <c r="E66" i="4"/>
  <c r="F66" i="4"/>
  <c r="G66" i="4"/>
  <c r="H66" i="4"/>
  <c r="B69" i="4"/>
  <c r="C69" i="4"/>
  <c r="D69" i="4"/>
  <c r="E69" i="4"/>
  <c r="F69" i="4"/>
  <c r="G69" i="4"/>
  <c r="B73" i="4"/>
  <c r="C73" i="4"/>
  <c r="D73" i="4"/>
  <c r="E73" i="4"/>
  <c r="F73" i="4"/>
  <c r="G73" i="4"/>
  <c r="H73" i="4"/>
  <c r="C76" i="4"/>
  <c r="D76" i="4"/>
  <c r="E76" i="4"/>
  <c r="F76" i="4"/>
  <c r="G76" i="4"/>
  <c r="H76" i="4"/>
  <c r="H77" i="4"/>
  <c r="B79" i="4"/>
  <c r="C79" i="4"/>
  <c r="D79" i="4"/>
  <c r="E79" i="4"/>
  <c r="F79" i="4"/>
  <c r="G79" i="4"/>
  <c r="H79" i="4"/>
  <c r="B80" i="4"/>
  <c r="C80" i="4"/>
  <c r="D80" i="4"/>
  <c r="E80" i="4"/>
  <c r="F80" i="4"/>
  <c r="G80" i="4"/>
  <c r="H80" i="4"/>
  <c r="B83" i="4"/>
  <c r="C83" i="4"/>
  <c r="D83" i="4"/>
  <c r="E83" i="4"/>
  <c r="F83" i="4"/>
  <c r="G83" i="4"/>
  <c r="H8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Marco Tognoni</author>
  </authors>
  <commentList>
    <comment ref="C10" authorId="0" shapeId="0" xr:uid="{00000000-0006-0000-0100-000001000000}">
      <text>
        <r>
          <rPr>
            <b/>
            <sz val="9"/>
            <color indexed="81"/>
            <rFont val="Tahoma"/>
            <charset val="1"/>
          </rPr>
          <t>Marco Tognoni:</t>
        </r>
        <r>
          <rPr>
            <sz val="9"/>
            <color indexed="81"/>
            <rFont val="Tahoma"/>
            <charset val="1"/>
          </rPr>
          <t xml:space="preserve">
Average Beta (3y) of the company.
Source: Capital IQ</t>
        </r>
      </text>
    </comment>
    <comment ref="C20" authorId="0" shapeId="0" xr:uid="{00000000-0006-0000-0100-000002000000}">
      <text>
        <r>
          <rPr>
            <b/>
            <sz val="9"/>
            <color indexed="81"/>
            <rFont val="Tahoma"/>
            <family val="2"/>
          </rPr>
          <t>Marco Tognoni:</t>
        </r>
        <r>
          <rPr>
            <sz val="9"/>
            <color indexed="81"/>
            <rFont val="Tahoma"/>
            <family val="2"/>
          </rPr>
          <t xml:space="preserve">
Italian Treasury Bonds latest auction</t>
        </r>
      </text>
    </comment>
    <comment ref="C21" authorId="0" shapeId="0" xr:uid="{00000000-0006-0000-0100-000003000000}">
      <text>
        <r>
          <rPr>
            <b/>
            <sz val="9"/>
            <color indexed="81"/>
            <rFont val="Tahoma"/>
            <family val="2"/>
          </rPr>
          <t>Marco Tognoni:</t>
        </r>
        <r>
          <rPr>
            <sz val="9"/>
            <color indexed="81"/>
            <rFont val="Tahoma"/>
            <family val="2"/>
          </rPr>
          <t xml:space="preserve">
Risk premium for the Italian Stock Market</t>
        </r>
      </text>
    </comment>
    <comment ref="A26" authorId="0" shapeId="0" xr:uid="{00000000-0006-0000-0100-000004000000}">
      <text>
        <r>
          <rPr>
            <b/>
            <sz val="9"/>
            <color indexed="81"/>
            <rFont val="Tahoma"/>
            <family val="2"/>
          </rPr>
          <t xml:space="preserve">Marco Tognoni:
</t>
        </r>
        <r>
          <rPr>
            <sz val="9"/>
            <color indexed="81"/>
            <rFont val="Tahoma"/>
            <family val="2"/>
          </rPr>
          <t xml:space="preserve">The discount factor is multiplied by an incremental factor to consider the fact this is a start-up in the pre-seed stage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Marco Tognoni</author>
  </authors>
  <commentList>
    <comment ref="D30" authorId="0" shapeId="0" xr:uid="{00000000-0006-0000-0500-000001000000}">
      <text>
        <r>
          <rPr>
            <b/>
            <sz val="9"/>
            <color indexed="81"/>
            <rFont val="Tahoma"/>
            <family val="2"/>
          </rPr>
          <t>Marco Tognoni:</t>
        </r>
        <r>
          <rPr>
            <sz val="9"/>
            <color indexed="81"/>
            <rFont val="Tahoma"/>
            <family val="2"/>
          </rPr>
          <t xml:space="preserve">
5% yearly rate on Short term debt amount, based on the rate applied by Unicredit on Invoice financing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Marco Tognoni</author>
  </authors>
  <commentList>
    <comment ref="C7" authorId="0" shapeId="0" xr:uid="{00000000-0006-0000-0700-000001000000}">
      <text>
        <r>
          <rPr>
            <b/>
            <sz val="9"/>
            <color indexed="81"/>
            <rFont val="Tahoma"/>
            <family val="2"/>
          </rPr>
          <t>Marco Tognoni:</t>
        </r>
        <r>
          <rPr>
            <sz val="9"/>
            <color indexed="81"/>
            <rFont val="Tahoma"/>
            <family val="2"/>
          </rPr>
          <t xml:space="preserve">
geometric average of the value generated by interactions in the first year</t>
        </r>
      </text>
    </comment>
    <comment ref="I7" authorId="0" shapeId="0" xr:uid="{00000000-0006-0000-0700-000002000000}">
      <text>
        <r>
          <rPr>
            <b/>
            <sz val="9"/>
            <color indexed="81"/>
            <rFont val="Tahoma"/>
            <family val="2"/>
          </rPr>
          <t>Marco Tognoni:</t>
        </r>
        <r>
          <rPr>
            <sz val="9"/>
            <color indexed="81"/>
            <rFont val="Tahoma"/>
            <family val="2"/>
          </rPr>
          <t xml:space="preserve">
Facebook sells its interactions with a parameter around 19
</t>
        </r>
      </text>
    </comment>
    <comment ref="C8" authorId="0" shapeId="0" xr:uid="{00000000-0006-0000-0700-000003000000}">
      <text>
        <r>
          <rPr>
            <b/>
            <sz val="9"/>
            <color indexed="81"/>
            <rFont val="Tahoma"/>
            <family val="2"/>
          </rPr>
          <t>Marco Tognoni:</t>
        </r>
        <r>
          <rPr>
            <sz val="9"/>
            <color indexed="81"/>
            <rFont val="Tahoma"/>
            <family val="2"/>
          </rPr>
          <t xml:space="preserve">
Coefficient for Big Data Sales.
Its the ratio between users and the economic value extracted by them.
Constant over time.
Derived from Twitter, Instagram, TikTok sales</t>
        </r>
      </text>
    </comment>
    <comment ref="C9" authorId="0" shapeId="0" xr:uid="{00000000-0006-0000-0700-000004000000}">
      <text>
        <r>
          <rPr>
            <b/>
            <sz val="9"/>
            <color indexed="81"/>
            <rFont val="Tahoma"/>
            <family val="2"/>
          </rPr>
          <t>Marco Tognoni:</t>
        </r>
        <r>
          <rPr>
            <sz val="9"/>
            <color indexed="81"/>
            <rFont val="Tahoma"/>
            <family val="2"/>
          </rPr>
          <t xml:space="preserve">
Based on the growth rate of other similar applications</t>
        </r>
      </text>
    </comment>
    <comment ref="I9" authorId="0" shapeId="0" xr:uid="{00000000-0006-0000-0700-000005000000}">
      <text>
        <r>
          <rPr>
            <b/>
            <sz val="9"/>
            <color indexed="81"/>
            <rFont val="Tahoma"/>
            <family val="2"/>
          </rPr>
          <t>Marco Tognoni:</t>
        </r>
        <r>
          <rPr>
            <sz val="9"/>
            <color indexed="81"/>
            <rFont val="Tahoma"/>
            <family val="2"/>
          </rPr>
          <t xml:space="preserve">
Estimation based on the worst performing apps</t>
        </r>
      </text>
    </comment>
    <comment ref="C18" authorId="0" shapeId="0" xr:uid="{00000000-0006-0000-0700-000006000000}">
      <text>
        <r>
          <rPr>
            <b/>
            <sz val="9"/>
            <color indexed="81"/>
            <rFont val="Tahoma"/>
            <family val="2"/>
          </rPr>
          <t>Marco Tognoni:</t>
        </r>
        <r>
          <rPr>
            <sz val="9"/>
            <color indexed="81"/>
            <rFont val="Tahoma"/>
            <family val="2"/>
          </rPr>
          <t xml:space="preserve">
There are less monthly users using premium services</t>
        </r>
      </text>
    </comment>
    <comment ref="I19" authorId="0" shapeId="0" xr:uid="{00000000-0006-0000-0700-000007000000}">
      <text>
        <r>
          <rPr>
            <b/>
            <sz val="9"/>
            <color indexed="81"/>
            <rFont val="Tahoma"/>
            <family val="2"/>
          </rPr>
          <t>Marco Tognoni:</t>
        </r>
        <r>
          <rPr>
            <sz val="9"/>
            <color indexed="81"/>
            <rFont val="Tahoma"/>
            <family val="2"/>
          </rPr>
          <t xml:space="preserve">
On average, only 1% of users use premium services</t>
        </r>
      </text>
    </comment>
    <comment ref="C28" authorId="0" shapeId="0" xr:uid="{00000000-0006-0000-0700-000008000000}">
      <text>
        <r>
          <rPr>
            <b/>
            <sz val="9"/>
            <color indexed="81"/>
            <rFont val="Tahoma"/>
            <family val="2"/>
          </rPr>
          <t>Marco Tognoni:</t>
        </r>
        <r>
          <rPr>
            <sz val="9"/>
            <color indexed="81"/>
            <rFont val="Tahoma"/>
            <family val="2"/>
          </rPr>
          <t xml:space="preserve">
ratio between number of users and their value in terms of advertising.
Research based on data from similar apps.
</t>
        </r>
      </text>
    </comment>
    <comment ref="C48" authorId="0" shapeId="0" xr:uid="{00000000-0006-0000-0700-000009000000}">
      <text>
        <r>
          <rPr>
            <b/>
            <sz val="9"/>
            <color indexed="81"/>
            <rFont val="Tahoma"/>
            <family val="2"/>
          </rPr>
          <t>Marco Tognoni:</t>
        </r>
        <r>
          <rPr>
            <sz val="9"/>
            <color indexed="81"/>
            <rFont val="Tahoma"/>
            <family val="2"/>
          </rPr>
          <t xml:space="preserve">
Source: Treasure costs calculator</t>
        </r>
      </text>
    </comment>
    <comment ref="I48" authorId="0" shapeId="0" xr:uid="{00000000-0006-0000-0700-00000A000000}">
      <text>
        <r>
          <rPr>
            <b/>
            <sz val="9"/>
            <color indexed="81"/>
            <rFont val="Tahoma"/>
            <family val="2"/>
          </rPr>
          <t>Marco Tognoni:</t>
        </r>
        <r>
          <rPr>
            <sz val="9"/>
            <color indexed="81"/>
            <rFont val="Tahoma"/>
            <family val="2"/>
          </rPr>
          <t xml:space="preserve">
These costs items grow according to the same geometric average curve as the monthly users
</t>
        </r>
      </text>
    </comment>
    <comment ref="C49" authorId="0" shapeId="0" xr:uid="{00000000-0006-0000-0700-00000B000000}">
      <text>
        <r>
          <rPr>
            <b/>
            <sz val="9"/>
            <color indexed="81"/>
            <rFont val="Tahoma"/>
            <family val="2"/>
          </rPr>
          <t>Marco Tognoni:</t>
        </r>
        <r>
          <rPr>
            <sz val="9"/>
            <color indexed="81"/>
            <rFont val="Tahoma"/>
            <family val="2"/>
          </rPr>
          <t xml:space="preserve">
Advisors and Shareholders Remuneration</t>
        </r>
      </text>
    </comment>
    <comment ref="C50" authorId="0" shapeId="0" xr:uid="{00000000-0006-0000-0700-00000C000000}">
      <text>
        <r>
          <rPr>
            <b/>
            <sz val="9"/>
            <color indexed="81"/>
            <rFont val="Tahoma"/>
            <family val="2"/>
          </rPr>
          <t>Marco Tognoni:</t>
        </r>
        <r>
          <rPr>
            <sz val="9"/>
            <color indexed="81"/>
            <rFont val="Tahoma"/>
            <family val="2"/>
          </rPr>
          <t xml:space="preserve">
255 working days multiplied by € 450 per day as a senior developer cost
</t>
        </r>
      </text>
    </comment>
    <comment ref="C51" authorId="0" shapeId="0" xr:uid="{00000000-0006-0000-0700-00000D000000}">
      <text>
        <r>
          <rPr>
            <b/>
            <sz val="9"/>
            <color indexed="81"/>
            <rFont val="Tahoma"/>
            <family val="2"/>
          </rPr>
          <t>Marco Tognoni:</t>
        </r>
        <r>
          <rPr>
            <sz val="9"/>
            <color indexed="81"/>
            <rFont val="Tahoma"/>
            <family val="2"/>
          </rPr>
          <t xml:space="preserve">
Cost of TikTok launch, benchmark for worldwide launch of several instant messaging apps and social networks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Marco Tognoni</author>
  </authors>
  <commentList>
    <comment ref="I6" authorId="0" shapeId="0" xr:uid="{00000000-0006-0000-0900-000001000000}">
      <text>
        <r>
          <rPr>
            <b/>
            <sz val="9"/>
            <color indexed="81"/>
            <rFont val="Tahoma"/>
            <family val="2"/>
          </rPr>
          <t>Marco Tognoni:</t>
        </r>
        <r>
          <rPr>
            <sz val="9"/>
            <color indexed="81"/>
            <rFont val="Tahoma"/>
            <family val="2"/>
          </rPr>
          <t xml:space="preserve">
€ 700 per full time equivalent in 2022, from 2023 the company is expected to purchase the office</t>
        </r>
      </text>
    </comment>
    <comment ref="I15" authorId="0" shapeId="0" xr:uid="{00000000-0006-0000-0900-000002000000}">
      <text>
        <r>
          <rPr>
            <b/>
            <sz val="9"/>
            <color indexed="81"/>
            <rFont val="Tahoma"/>
            <family val="2"/>
          </rPr>
          <t>Marco Tognoni:</t>
        </r>
        <r>
          <rPr>
            <sz val="9"/>
            <color indexed="81"/>
            <rFont val="Tahoma"/>
            <family val="2"/>
          </rPr>
          <t xml:space="preserve">
The Accountant is entirely encharged of finance and administration till 2024, then the function is internalised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Marco Tognoni</author>
  </authors>
  <commentList>
    <comment ref="A8" authorId="0" shapeId="0" xr:uid="{00000000-0006-0000-0A00-000001000000}">
      <text>
        <r>
          <rPr>
            <b/>
            <sz val="9"/>
            <color indexed="81"/>
            <rFont val="Tahoma"/>
            <family val="2"/>
          </rPr>
          <t>Marco Tognoni:</t>
        </r>
        <r>
          <rPr>
            <sz val="9"/>
            <color indexed="81"/>
            <rFont val="Tahoma"/>
            <family val="2"/>
          </rPr>
          <t xml:space="preserve">
Multiplo costo azienda</t>
        </r>
      </text>
    </comment>
    <comment ref="A9" authorId="0" shapeId="0" xr:uid="{00000000-0006-0000-0A00-000002000000}">
      <text>
        <r>
          <rPr>
            <b/>
            <sz val="9"/>
            <color indexed="81"/>
            <rFont val="Tahoma"/>
            <family val="2"/>
          </rPr>
          <t>Marco Tognoni:</t>
        </r>
        <r>
          <rPr>
            <sz val="9"/>
            <color indexed="81"/>
            <rFont val="Tahoma"/>
            <family val="2"/>
          </rPr>
          <t xml:space="preserve">
Quota TFR</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Marco Tognoni</author>
  </authors>
  <commentList>
    <comment ref="I6" authorId="0" shapeId="0" xr:uid="{00000000-0006-0000-0B00-000001000000}">
      <text>
        <r>
          <rPr>
            <b/>
            <sz val="9"/>
            <color indexed="81"/>
            <rFont val="Tahoma"/>
            <family val="2"/>
          </rPr>
          <t>Marco Tognoni:</t>
        </r>
        <r>
          <rPr>
            <sz val="9"/>
            <color indexed="81"/>
            <rFont val="Tahoma"/>
            <family val="2"/>
          </rPr>
          <t xml:space="preserve">
50% of cah and cash equivalents in 2023 is invested in properties</t>
        </r>
      </text>
    </comment>
    <comment ref="I10" authorId="0" shapeId="0" xr:uid="{00000000-0006-0000-0B00-000002000000}">
      <text>
        <r>
          <rPr>
            <b/>
            <sz val="9"/>
            <color indexed="81"/>
            <rFont val="Tahoma"/>
            <family val="2"/>
          </rPr>
          <t>Marco Tognoni:</t>
        </r>
        <r>
          <rPr>
            <sz val="9"/>
            <color indexed="81"/>
            <rFont val="Tahoma"/>
            <family val="2"/>
          </rPr>
          <t xml:space="preserve">
€ 2.000 per year for each full time equivalent</t>
        </r>
      </text>
    </comment>
  </commentList>
</comments>
</file>

<file path=xl/sharedStrings.xml><?xml version="1.0" encoding="utf-8"?>
<sst xmlns="http://schemas.openxmlformats.org/spreadsheetml/2006/main" count="564" uniqueCount="353">
  <si>
    <t>Closing balance</t>
  </si>
  <si>
    <t>Movement</t>
  </si>
  <si>
    <t>Opening balance</t>
  </si>
  <si>
    <t>Total</t>
  </si>
  <si>
    <t>Date 2</t>
  </si>
  <si>
    <t>Date 1</t>
  </si>
  <si>
    <t>Demo Calc</t>
  </si>
  <si>
    <t>Forecast 1</t>
  </si>
  <si>
    <t>Forecast</t>
  </si>
  <si>
    <t>Annual</t>
  </si>
  <si>
    <t>Template Sheet</t>
  </si>
  <si>
    <t>Costs</t>
  </si>
  <si>
    <t>%</t>
  </si>
  <si>
    <t>Balance Sheet</t>
  </si>
  <si>
    <t>days</t>
  </si>
  <si>
    <t>Funds</t>
  </si>
  <si>
    <t>Payout ratio</t>
  </si>
  <si>
    <t>EBITDA</t>
  </si>
  <si>
    <t>IRES</t>
  </si>
  <si>
    <t>IRAP</t>
  </si>
  <si>
    <t>EBIT</t>
  </si>
  <si>
    <t>check</t>
  </si>
  <si>
    <t>period</t>
  </si>
  <si>
    <t>section</t>
  </si>
  <si>
    <t>start date</t>
  </si>
  <si>
    <t>end date</t>
  </si>
  <si>
    <t>duration</t>
  </si>
  <si>
    <t>Annual</t>
  </si>
  <si>
    <t>Forecast</t>
  </si>
  <si>
    <t>Depreciation</t>
  </si>
  <si>
    <t>VAT</t>
  </si>
  <si>
    <t>TFR</t>
  </si>
  <si>
    <t>Bad debts</t>
  </si>
  <si>
    <t>NOPAT</t>
  </si>
  <si>
    <t xml:space="preserve"> payments</t>
  </si>
  <si>
    <t>Total</t>
  </si>
  <si>
    <t>total</t>
  </si>
  <si>
    <t>https://www.marketsandmarkets.com/Market-Reports/nano-cellulose-market-56392090.html?gclid=Cj0KCQiAk7TuBRDQARIsAMRrfUYsPodn6akVKRf6Nzkc0Mq38O6eDgyHKIyh9hQMeYdwLc1_FALBUQER1</t>
  </si>
  <si>
    <t>https://webthesis.biblio.polito.it/7667/1/tesi.pdf</t>
  </si>
  <si>
    <t>https://www.grandviewresearch.com/industry-analysis/cellulose-ester-market</t>
  </si>
  <si>
    <t>https://www.marketsandmarkets.com/Market-Reports/furfural-market-101056456.html?</t>
  </si>
  <si>
    <t>https://www.globalinforesearch.com/info/global-levulinic-acid-market-2018-forecast-to-2023_i0166.html</t>
  </si>
  <si>
    <t>https://courant.biz/report/gamma-valerolactone-cas-108-29-2-market/6078/</t>
  </si>
  <si>
    <t xml:space="preserve">Big Data sales </t>
  </si>
  <si>
    <t>Premium services sales</t>
  </si>
  <si>
    <t>Media and Advertising activities</t>
  </si>
  <si>
    <t>Correction coefficient</t>
  </si>
  <si>
    <t>Annual turnover for profiling</t>
  </si>
  <si>
    <t>Montlhy users</t>
  </si>
  <si>
    <t>Total Annual Turnover Big Data Sales</t>
  </si>
  <si>
    <t>Monthly users</t>
  </si>
  <si>
    <t>Total Annual Turnover Premium Services Sales</t>
  </si>
  <si>
    <t>Total Annual Turnover Media &amp; Advertising activities</t>
  </si>
  <si>
    <t>Total Annual Revenues</t>
  </si>
  <si>
    <t>Server Costs</t>
  </si>
  <si>
    <t>People Costs</t>
  </si>
  <si>
    <t>Marketing Appropriation Costs</t>
  </si>
  <si>
    <t>Costs of Sales</t>
  </si>
  <si>
    <t xml:space="preserve">Total Annual Costs of Sales </t>
  </si>
  <si>
    <t>Upgrade Costs App</t>
  </si>
  <si>
    <t>Annual Costs</t>
  </si>
  <si>
    <t>Items</t>
  </si>
  <si>
    <t>Office Rent</t>
  </si>
  <si>
    <t>Electricity</t>
  </si>
  <si>
    <t>Other Bills</t>
  </si>
  <si>
    <t>Insurance</t>
  </si>
  <si>
    <t>Sundry Expenses</t>
  </si>
  <si>
    <t>Travel and representation costs</t>
  </si>
  <si>
    <t>Full time equivalent no.</t>
  </si>
  <si>
    <t>HR</t>
  </si>
  <si>
    <t>Legal &amp; Compliance</t>
  </si>
  <si>
    <t>Technology &amp; Development</t>
  </si>
  <si>
    <t>Sales &amp; Marketing</t>
  </si>
  <si>
    <t>€</t>
  </si>
  <si>
    <t>Legal &amp; Compliance Advisory</t>
  </si>
  <si>
    <t>Technology &amp; IT Advisory</t>
  </si>
  <si>
    <t>Accounting and Bookkeeping Advisory</t>
  </si>
  <si>
    <t>percentage of turnover</t>
  </si>
  <si>
    <t>IT Infrastructure Costs</t>
  </si>
  <si>
    <t>growth based on people costs for each type of company function</t>
  </si>
  <si>
    <t>Managers</t>
  </si>
  <si>
    <t>Investments</t>
  </si>
  <si>
    <t>Office property purchase</t>
  </si>
  <si>
    <t>Holding constitution</t>
  </si>
  <si>
    <t>Technology R&amp;D</t>
  </si>
  <si>
    <t>IT Infrastructure Costs Server disaster management</t>
  </si>
  <si>
    <t>Furniture and office material</t>
  </si>
  <si>
    <t>20% dividend share</t>
  </si>
  <si>
    <t>30 days payables and trade receivables</t>
  </si>
  <si>
    <t>Full time equivalent total cost</t>
  </si>
  <si>
    <t>Salary</t>
  </si>
  <si>
    <t>TFR provision</t>
  </si>
  <si>
    <t>Social Security</t>
  </si>
  <si>
    <t>Finance &amp; Administration</t>
  </si>
  <si>
    <t>Total Managers</t>
  </si>
  <si>
    <t>Total Legal &amp; Compliance</t>
  </si>
  <si>
    <t>Total HR</t>
  </si>
  <si>
    <t>Total Technology &amp; Development</t>
  </si>
  <si>
    <t>Total Sales &amp; Marketing</t>
  </si>
  <si>
    <t>Total Finance &amp; Administration</t>
  </si>
  <si>
    <t>Total Salaries</t>
  </si>
  <si>
    <t>Total TFR Provision</t>
  </si>
  <si>
    <t>Total Social Security</t>
  </si>
  <si>
    <t>CAGR 2021-2026</t>
  </si>
  <si>
    <t>Total Gross Profit</t>
  </si>
  <si>
    <t>HP% of Revenues</t>
  </si>
  <si>
    <t>Revenues</t>
  </si>
  <si>
    <t>Computations 1</t>
  </si>
  <si>
    <t>Personnel Costs</t>
  </si>
  <si>
    <t>Salaries</t>
  </si>
  <si>
    <t>Severance Pay Provision</t>
  </si>
  <si>
    <t>Total Annual Service Costs</t>
  </si>
  <si>
    <t>Taxes</t>
  </si>
  <si>
    <t>Fixed Assets</t>
  </si>
  <si>
    <t>Depreciation</t>
  </si>
  <si>
    <t>Untangible Fixed Assets</t>
  </si>
  <si>
    <t>Office Property Purchase</t>
  </si>
  <si>
    <t>Net Working Capital</t>
  </si>
  <si>
    <t>Collection</t>
  </si>
  <si>
    <t>Bad Debt Provision</t>
  </si>
  <si>
    <t>New Account Receivables</t>
  </si>
  <si>
    <t>Collection Days</t>
  </si>
  <si>
    <t>Weighted Average VAT Debt</t>
  </si>
  <si>
    <t>Account Receivables Accruals</t>
  </si>
  <si>
    <t>Payables Accruals account</t>
  </si>
  <si>
    <t>New Account Payables</t>
  </si>
  <si>
    <t>Settlement Days</t>
  </si>
  <si>
    <t>Total VAT Account</t>
  </si>
  <si>
    <t>VAT Account Debt</t>
  </si>
  <si>
    <t>VAT Account Credit</t>
  </si>
  <si>
    <t xml:space="preserve">VAT Account Credit </t>
  </si>
  <si>
    <t>VAT Account Credit (Debt)</t>
  </si>
  <si>
    <t>Bad Debt Provision Fund</t>
  </si>
  <si>
    <t>TFR Fund</t>
  </si>
  <si>
    <t>Provisional Funds</t>
  </si>
  <si>
    <t>Social Security Debt</t>
  </si>
  <si>
    <t>Accruals</t>
  </si>
  <si>
    <t>Settlements</t>
  </si>
  <si>
    <t>Total Social Security Debt</t>
  </si>
  <si>
    <t>VAT is assumed to be settled annually</t>
  </si>
  <si>
    <t>90% of the Social Security Debt is settled yearly</t>
  </si>
  <si>
    <t>Credits in the fund for more than 2 years are depreciated</t>
  </si>
  <si>
    <t>Costs Of Sales</t>
  </si>
  <si>
    <t>Personnel costs</t>
  </si>
  <si>
    <t>Service Costs</t>
  </si>
  <si>
    <t>Extraordinary Items</t>
  </si>
  <si>
    <t>EBT</t>
  </si>
  <si>
    <t>Pre-tax profit</t>
  </si>
  <si>
    <t>IRES taxable amount</t>
  </si>
  <si>
    <t>Accumulated and unused past losses</t>
  </si>
  <si>
    <t>Total losses deducted</t>
  </si>
  <si>
    <t>Taxable amount IRES Actual</t>
  </si>
  <si>
    <t>IRES rate</t>
  </si>
  <si>
    <t>Taxable IRAP</t>
  </si>
  <si>
    <t>IRAP rate</t>
  </si>
  <si>
    <t>Total taxes (IRES + IRAP)</t>
  </si>
  <si>
    <t>Down payment</t>
  </si>
  <si>
    <t>Equalization payment</t>
  </si>
  <si>
    <t>Positive (negative) tax cash flow</t>
  </si>
  <si>
    <t>Taxes of period (exit)</t>
  </si>
  <si>
    <t>Tax receivables (payables)</t>
  </si>
  <si>
    <t>Cash flow from taxes</t>
  </si>
  <si>
    <t>Interest Expenses</t>
  </si>
  <si>
    <t>Total IRES</t>
  </si>
  <si>
    <t>Total IRAP</t>
  </si>
  <si>
    <t>Previous losses of the previous tax year</t>
  </si>
  <si>
    <t>Social Security Credits (Debts)</t>
  </si>
  <si>
    <t>VAT Account</t>
  </si>
  <si>
    <t>Tangible Fixed Assets</t>
  </si>
  <si>
    <t>Total Fixed Assets</t>
  </si>
  <si>
    <t>Computations 2</t>
  </si>
  <si>
    <t>Balance Sheet</t>
  </si>
  <si>
    <t>Costs</t>
  </si>
  <si>
    <t>Equity</t>
  </si>
  <si>
    <t>Shareholders' Equity</t>
  </si>
  <si>
    <t>Reserves</t>
  </si>
  <si>
    <t>Profit (Loss) brought forward</t>
  </si>
  <si>
    <t>Profit (Loss) of the year</t>
  </si>
  <si>
    <t>Dividends</t>
  </si>
  <si>
    <t>Profit &amp; Loss Account</t>
  </si>
  <si>
    <t>Equity Injection</t>
  </si>
  <si>
    <t>Total Yearly Distributed Dividends</t>
  </si>
  <si>
    <t>% Shareholders' Equity</t>
  </si>
  <si>
    <t>% Reserves</t>
  </si>
  <si>
    <t>Cash Flow Statement</t>
  </si>
  <si>
    <t>Long Term Debt</t>
  </si>
  <si>
    <t>Long Term Debt Injection</t>
  </si>
  <si>
    <t>Total Revenues</t>
  </si>
  <si>
    <t>Intangible Fixed Assets</t>
  </si>
  <si>
    <t>LinkMeEasy - ACTION PLAN 2020</t>
  </si>
  <si>
    <t>Description</t>
  </si>
  <si>
    <t>BUDGET 12 months (€)</t>
  </si>
  <si>
    <t>Temporary Manager 50% Founder or Strategic Marketing Expert (Coordinator)</t>
  </si>
  <si>
    <t>Temporary Manager 50% IT - CTO engineer</t>
  </si>
  <si>
    <t>Temporary Manager 75% Senior Agile Project Manager - Scrum</t>
  </si>
  <si>
    <t>Temporary Manager 50% Software iOs / Android Engeneer - Azure Engeneer</t>
  </si>
  <si>
    <t>Temporary Manager 50% Responsible as UI-UX / Designer</t>
  </si>
  <si>
    <t>DPO (Privacy)</t>
  </si>
  <si>
    <t>Legal</t>
  </si>
  <si>
    <t>Temporary Manager 50% Press Office equipped with Social Media Manager (main supplier)</t>
  </si>
  <si>
    <t>TOTAL MANAGEMENT TEAM</t>
  </si>
  <si>
    <t>Launch Costs</t>
  </si>
  <si>
    <t>5% 2023 10% 2024 employee production bonus</t>
  </si>
  <si>
    <t>% Employees production Bonus</t>
  </si>
  <si>
    <t>IRR 2021-2026</t>
  </si>
  <si>
    <t>Employees production costs</t>
  </si>
  <si>
    <t>Net Income for full time equivalent</t>
  </si>
  <si>
    <t>Total Chiefs</t>
  </si>
  <si>
    <t>Chiefs</t>
  </si>
  <si>
    <t>The first 3 sheets highlighted in green are the final output containing the 3 parts of the forecasted financial statement (Cashflow Statement, Balance Sheet and Pofil and Loss Account)</t>
  </si>
  <si>
    <t>TEMPLATE</t>
  </si>
  <si>
    <t>The sheets highlighted in orange contain the necessary computations to fill the 3 statements in the green sheets</t>
  </si>
  <si>
    <t>The sheets highlighted in lightblue contain all the assumptions of the business plan, and are divided according to the P&amp;L item they concern (ex. Revenues, investments, ...)</t>
  </si>
  <si>
    <t>ASSUMPTIONS</t>
  </si>
  <si>
    <t>Big Data Sales</t>
  </si>
  <si>
    <t>Coefficient for Big Data Sales. Its the ratio between users and the economic value extracted by them. Constant over time. Derived from Twitter, Instagram, TikTok sales</t>
  </si>
  <si>
    <t>It starts from 1,7 in 2021, and in the following years is calculated as the geometric average of the year before and a final value of 18,5, close to the one of Facebook, equal to 19</t>
  </si>
  <si>
    <t>By analyzing other similar apps, we assume only 1% of users apply for premium services</t>
  </si>
  <si>
    <t>Correction coefficient and Monthly users</t>
  </si>
  <si>
    <t>It starts from 1 in 2021, and in the following years is calculated as the geometric average of the year before and a final value of 18,5, close to the one of Facebook, equal to 19</t>
  </si>
  <si>
    <t>Ratio between number of users and their value in terms of advertising, equal to 0.04. Research based on data from similar apps. The number of monthly users is the same of Big Data Sales</t>
  </si>
  <si>
    <t>For 2021 is based on the Source: Treasure costs calculator. For the following years the grow using the same geometric average of the monthly users</t>
  </si>
  <si>
    <t>For 2021 is calculated by considering 255 working days multiplied by € 450 per day as a senior developer cost. For the following years the grow using the same geometric average of the monthly users</t>
  </si>
  <si>
    <t>For 2021 is calculated by considering the cost of TikTok launch, benchmark for worldwide launch of several instant messaging apps and social networks. For the following years the grow using the same geometric average of the monthly users</t>
  </si>
  <si>
    <t>They are those of the management team in 2021, that have been capitalized, calculated considering the annaula salaries of senior managers. Other items have already been included in "Costs of Sales" and "Annual Costs"</t>
  </si>
  <si>
    <t>€ 700 for full time equivalent in 2022, from 2023 the company is assumed to purchase the office, thus this item is not present anymore</t>
  </si>
  <si>
    <t>The assumption is the% of total revenues specified in column I of the sheet "Annual Costs"</t>
  </si>
  <si>
    <t>The assumption is the% of total revenues specified in column I of the sheet "Annual Costs". This items disappears in 2025 and 2026 as the function becomes internal to the company and therefore considered in Personnel Costs</t>
  </si>
  <si>
    <t>3 Full-time equivalents with average Company cost of € 50.000 each, their number grows according to the initial estimated personnel costs CAGR reported in the sheet "Revenues and Costs of Sales", cell K49</t>
  </si>
  <si>
    <t>15 Full-time equivalents with average Company cost of € 35.000 each, their number grows according to the initial estimated personnel costs CAGR reported in the sheet "Revenues and Costs of Sales", cell K49</t>
  </si>
  <si>
    <t>20 Full-time equivalents with average Company cost of € 50.000 each, their number grows according to the initial estimated personnel costs CAGR reported in the sheet "Revenues and Costs of Sales", cell K49</t>
  </si>
  <si>
    <t>2 Full-time equivalents with average Company cost of € 35.000 each, their number grows according to the initial estimated personnel costs CAGR reported in the sheet "Revenues and Costs of Sales", cell K49</t>
  </si>
  <si>
    <t>1 Full-time equivalents with average Company cost of € 50.000 each, their number grows according to the initial estimated personnel costs CAGR reported in the sheet "Revenues and Costs of Sales", cell K49</t>
  </si>
  <si>
    <t>5 Full-time equivalents with average Company cost of € 60.000 each, their number grows according to the initial estimated personnel costs CAGR reported in the sheet "Revenues and Costs of Sales", cell K49</t>
  </si>
  <si>
    <t>6 Full-time equivalents with average Company cost of € 80.000 each, their number grows to 8 in 2024 and 10 in 2025. Their Company cost grows at the total Revenues CAGR reported in the sheet "Revenues and Costs of Sales", cell K35</t>
  </si>
  <si>
    <t>50% of cah and cash equivalents in 2023 is assumed to be invested in office properties</t>
  </si>
  <si>
    <t>Assumed to be equal to € 50,000 and it occurs in the same year of the office property purchase</t>
  </si>
  <si>
    <t>Assumed to be equal to € 2,000 per year for each full time equivalent from 2022</t>
  </si>
  <si>
    <t>Calculated as the% of Total Revenues reported in column I of the sheet "Investments" from 2022</t>
  </si>
  <si>
    <t>Calculated as the% of Total Revenues reported in column I of the sheet "Investments" from 2021</t>
  </si>
  <si>
    <t>VAT</t>
  </si>
  <si>
    <t>Depreciation Yearly Rate</t>
  </si>
  <si>
    <t>The specific Depreciation Yearly Rate% according to the Italian financial statements regulation is applied for each fixed assets item</t>
  </si>
  <si>
    <t>Account Receivables Collection Days</t>
  </si>
  <si>
    <t>30 days for the whole time-period considered</t>
  </si>
  <si>
    <t>Payables Settlement Days Account</t>
  </si>
  <si>
    <t>The specific VAT% according to the Italian fiscal system is applied for each cost and revenue item. The VAT Account is assumed to be settled yearly</t>
  </si>
  <si>
    <t>Every year, 1% of the Account Receivables are put in the Bad Debt Provision Fund, and are considered to be sunk costs after 2 years</t>
  </si>
  <si>
    <t>90% of the debt derived from Social security for employees is assumed to be settled yearly</t>
  </si>
  <si>
    <t>Equity Classification</t>
  </si>
  <si>
    <t>Dividends Payout Ratio</t>
  </si>
  <si>
    <t>Employees Yearly Production Bonus</t>
  </si>
  <si>
    <t xml:space="preserve">The line 109 of this sheet contains the amount of capital that is necessary every year to run the business </t>
  </si>
  <si>
    <t>10% of the equity Injection is assumed to be Shareholders' Capital and the remaining 90% is classified as Reserves</t>
  </si>
  <si>
    <t>assumed equal to 20% of the previous year Net Income in 2023, 30% from 2024 onwards</t>
  </si>
  <si>
    <t>assumed equal to 5% of the available cash in 2023, 10% from 2024 onwards</t>
  </si>
  <si>
    <t>Please note that, all over the business plan model, the cells containing blue numbers are the Input Assumptions and are the only ones that can be modified to make sensitivity and other analyzes, whilst all the cells containing black numbers are formula necessary for the model to run correctly</t>
  </si>
  <si>
    <t>Estimation based on the worst performing apps for 2021, and for the following years is assumed to increase at a growth rate extracted by that of other similar applications</t>
  </si>
  <si>
    <t>ASSUMPTIONS PREMISE</t>
  </si>
  <si>
    <t>SOURCES</t>
  </si>
  <si>
    <t xml:space="preserve">The assumptions below are based to the fact that there are currently around 3,5 bln. monthly users that use instant mesaging apps (ex. WhatsApp, Telegram, QQ, WeChat ...), around 500 mln. that actively use social networks (ex. LinkedIn, Facebook, Instagram, TikTok, Pinterest, Badoo ...) and other 1 bln. users that use only email acconts and, for personal choice, do not use either instant messaging apps or social networks. It is also worth mentioning that the numbers reported above do not overlap with each other, so their make up for a sum of potential users that amonts to around 5 bln. Therefore, our assumption to achieve around 5 mln. users during the first years seems realistic. Source: https://www.messengerpeople.com/global-messenger-usage-statistics/ (For additional sources of the data above look column L in the "
</t>
  </si>
  <si>
    <t>DATE</t>
  </si>
  <si>
    <t>Ke</t>
  </si>
  <si>
    <t>Ke Adjusted</t>
  </si>
  <si>
    <t>Equity Beta Piteco</t>
  </si>
  <si>
    <t>Equity Beta SAES Getters</t>
  </si>
  <si>
    <t>Equity Beta Wiit</t>
  </si>
  <si>
    <t>Equity Beta Esprinet</t>
  </si>
  <si>
    <t xml:space="preserve">Calculation Ke </t>
  </si>
  <si>
    <t>Beta Medium comparable companies</t>
  </si>
  <si>
    <t xml:space="preserve">DCF evaluation </t>
  </si>
  <si>
    <t>Year number</t>
  </si>
  <si>
    <t>Net Cash Flow</t>
  </si>
  <si>
    <t>Pre-money valuation (Equity Value)</t>
  </si>
  <si>
    <t>Depreciation</t>
  </si>
  <si>
    <t>Taxes</t>
  </si>
  <si>
    <t>Extraordinary management</t>
  </si>
  <si>
    <t>Change in Net Working Capital</t>
  </si>
  <si>
    <t>CAPEX variation</t>
  </si>
  <si>
    <t>Change in other items of invested capital</t>
  </si>
  <si>
    <t>Operating Cash Flow</t>
  </si>
  <si>
    <t>Positive (Negative) Cash Flow for the period</t>
  </si>
  <si>
    <t>Cash Flow Financial Management</t>
  </si>
  <si>
    <t>Initial Short-Term Debt (Cash)</t>
  </si>
  <si>
    <t>Final Short Term (Cash) Debt</t>
  </si>
  <si>
    <t>Long-term debt change</t>
  </si>
  <si>
    <t>Capital increase (dividend distribution)</t>
  </si>
  <si>
    <t>Financial income (charges)</t>
  </si>
  <si>
    <t>Financial statement</t>
  </si>
  <si>
    <t>Net invested capital</t>
  </si>
  <si>
    <t>Total CAPEX</t>
  </si>
  <si>
    <t>Tangible fixed assets</t>
  </si>
  <si>
    <t>Intangible assets</t>
  </si>
  <si>
    <t>Commercial credits</t>
  </si>
  <si>
    <t>Commercial debts</t>
  </si>
  <si>
    <t>Net working capital</t>
  </si>
  <si>
    <t>VAT balance</t>
  </si>
  <si>
    <t>Tax receivables (payables)</t>
  </si>
  <si>
    <t>Social security credits (debts)</t>
  </si>
  <si>
    <t>Other Receivables (Payables) or Funds</t>
  </si>
  <si>
    <t>Other Items of Invested Capital</t>
  </si>
  <si>
    <t>Sources</t>
  </si>
  <si>
    <t>Total Net Equity</t>
  </si>
  <si>
    <t>NFP</t>
  </si>
  <si>
    <t>Share capital</t>
  </si>
  <si>
    <t>Reserves</t>
  </si>
  <si>
    <t>Profit (loss) carried forward</t>
  </si>
  <si>
    <t>Profit (loss) for the year</t>
  </si>
  <si>
    <t>Dividends</t>
  </si>
  <si>
    <t>Payables to LT</t>
  </si>
  <si>
    <t>Payables to LV (Cash)</t>
  </si>
  <si>
    <t>Income statement</t>
  </si>
  <si>
    <t>Revenues</t>
  </si>
  <si>
    <t xml:space="preserve">Big Sata sale </t>
  </si>
  <si>
    <t xml:space="preserve">Premium Services Sale </t>
  </si>
  <si>
    <t>Marketing &amp; Advertising Activities</t>
  </si>
  <si>
    <t>Costs of sales</t>
  </si>
  <si>
    <t xml:space="preserve">Server Costs </t>
  </si>
  <si>
    <t xml:space="preserve">Costs Appropriation Marketing </t>
  </si>
  <si>
    <t xml:space="preserve">Upgrading Costs App </t>
  </si>
  <si>
    <t>Staff costs</t>
  </si>
  <si>
    <t xml:space="preserve"> Wages &amp; Salaries</t>
  </si>
  <si>
    <t>Social Security institutions</t>
  </si>
  <si>
    <t>Employee Production Awards</t>
  </si>
  <si>
    <t>Costs for Services</t>
  </si>
  <si>
    <t>Various Management Charges</t>
  </si>
  <si>
    <t>Insurance</t>
  </si>
  <si>
    <t>IT consultancy</t>
  </si>
  <si>
    <t>Legal and Compliance Consultancy</t>
  </si>
  <si>
    <t>Accounting &amp; Tax Consultancy</t>
  </si>
  <si>
    <t>Offices lease</t>
  </si>
  <si>
    <t>Utilities</t>
  </si>
  <si>
    <t>IT infrastructure costs</t>
  </si>
  <si>
    <t>Other Costs for Services</t>
  </si>
  <si>
    <t>Travel, Transfers and Representation</t>
  </si>
  <si>
    <t>Ebitda margin%</t>
  </si>
  <si>
    <t>Ebit margin%</t>
  </si>
  <si>
    <t>Extraordinary income (charges)</t>
  </si>
  <si>
    <t>Net profit (loss) for the year</t>
  </si>
  <si>
    <t xml:space="preserve">Net Profit Margin% </t>
  </si>
  <si>
    <t>Allocations to the bad debt provision</t>
  </si>
  <si>
    <t>Severance indemnity provisions</t>
  </si>
  <si>
    <t>Summary indices</t>
  </si>
  <si>
    <t>NFP / EBITDA</t>
  </si>
  <si>
    <t>NFP / SHAREHOLDERS 'EQUITY</t>
  </si>
  <si>
    <t>REVENUES GROWTH RATE%</t>
  </si>
  <si>
    <t>EBITDA MARGIN%</t>
  </si>
  <si>
    <t>TV</t>
  </si>
  <si>
    <t>Risk-free rate</t>
  </si>
  <si>
    <t>risk premium Italy</t>
  </si>
  <si>
    <t>Data Set: Dummy data set 1.001</t>
  </si>
  <si>
    <t>Version: 27.001.006 | dd Apr yy 12:58</t>
  </si>
  <si>
    <t>LME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</si>
</sst>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3" formatCode="_-* #,##0.00_-;\-* #,##0.00_-;_-* &quot;-&quot;??_-;_-@_-"/>
    <numFmt numFmtId="164" formatCode="_-* #,##0.00\ _€_-;\-* #,##0.00\ _€_-;_-* &quot;-&quot;??\ _€_-;_-@_-"/>
    <numFmt numFmtId="165" formatCode="&quot;£&quot;* #,##0_);[Red]&quot;£&quot;* \(#,##0\);&quot;£&quot;* &quot;-&quot;_);[Blue]&quot;Error-&quot;@"/>
    <numFmt numFmtId="166" formatCode="#,##0_);[Red]\(#,##0\);&quot;-&quot;_);[Blue]&quot;Error-&quot;@"/>
    <numFmt numFmtId="167" formatCode="_-* #,##0_-;\-* #,##0_-;_-* &quot;-&quot;??_-;_-@_-"/>
    <numFmt numFmtId="168" formatCode="_-* #,##0.0_-;\-* #,##0.0_-;_-* &quot;-&quot;??_-;_-@_-"/>
    <numFmt numFmtId="169" formatCode="#,##0;[Red]\(#,##0\)"/>
    <numFmt numFmtId="170" formatCode="0.0%"/>
    <numFmt numFmtId="171" formatCode="#,##0.00_ ;[Red]\-#,##0.00\ "/>
    <numFmt numFmtId="172" formatCode="#,##0_ ;[Red]\-#,##0\ "/>
    <numFmt numFmtId="173" formatCode="_-* #,##0\ _€_-;\-* #,##0\ _€_-;_-* &quot;-&quot;??\ _€_-;_-@_-"/>
    <numFmt numFmtId="174" formatCode="_-* #,##0.00\ [$€-410]_-;\-* #,##0.00\ [$€-410]_-;_-* &quot;-&quot;??\ [$€-410]_-;_-@_-"/>
    <numFmt numFmtId="175" formatCode="#,##0.00_ ;\-#,##0.00\ "/>
    <numFmt numFmtId="176" formatCode="_-* #,##0\ _€_-;\-* #,##0\ _€_-;_-* &quot;-&quot;?\ _€_-;_-@_-"/>
    <numFmt numFmtId="177" formatCode="#,##0.0"/>
    <numFmt numFmtId="178" formatCode="#,##0.000"/>
    <numFmt numFmtId="179" formatCode="#,##0_);[Red]\(#,##0\);\-_);[Blue]&quot;Error-&quot;@"/>
    <numFmt numFmtId="180" formatCode="\£* #,##0_);[Red]\£* \(#,##0\);\£* \-_);[Blue]&quot;Error-&quot;@"/>
    <numFmt numFmtId="181" formatCode="[$-409]d\-mmm\-yy"/>
    <numFmt numFmtId="182" formatCode="_-* #,##0.00_-;\-* #,##0.00_-;_-* \-??_-;_-@_-"/>
    <numFmt numFmtId="183" formatCode="#,##0.00;[Red]\(#,##0.00\)"/>
    <numFmt numFmtId="184" formatCode="#,##0;\(#,##0\)"/>
    <numFmt numFmtId="185" formatCode="#,##0.00;\(#,##0.00\)"/>
  </numFmts>
  <fonts count="47" x14ac:knownFonts="1">
    <font>
      <sz val="9"/>
      <name val="Arial"/>
    </font>
    <font>
      <b/>
      <sz val="9"/>
      <name val="Arial"/>
      <family val="2"/>
    </font>
    <font>
      <sz val="9"/>
      <name val="Arial"/>
      <family val="2"/>
    </font>
    <font>
      <i/>
      <u/>
      <sz val="9"/>
      <color indexed="12"/>
      <name val="Arial"/>
      <family val="2"/>
    </font>
    <font>
      <sz val="12"/>
      <color indexed="9"/>
      <name val="Arial"/>
      <family val="2"/>
    </font>
    <font>
      <sz val="7"/>
      <name val="Arial"/>
      <family val="2"/>
    </font>
    <font>
      <i/>
      <sz val="8"/>
      <color indexed="62"/>
      <name val="Arial"/>
      <family val="2"/>
    </font>
    <font>
      <b/>
      <sz val="12"/>
      <color indexed="9"/>
      <name val="Arial"/>
      <family val="2"/>
    </font>
    <font>
      <i/>
      <sz val="9"/>
      <name val="Arial"/>
      <family val="2"/>
    </font>
    <font>
      <sz val="9"/>
      <name val="Arial"/>
      <family val="2"/>
    </font>
    <font>
      <sz val="9"/>
      <name val="Arial"/>
      <family val="2"/>
    </font>
    <font>
      <sz val="8"/>
      <name val="Arial"/>
      <family val="2"/>
    </font>
    <font>
      <sz val="9"/>
      <name val="Arial"/>
      <family val="2"/>
    </font>
    <font>
      <sz val="9"/>
      <color indexed="81"/>
      <name val="Tahoma"/>
      <family val="2"/>
    </font>
    <font>
      <b/>
      <sz val="9"/>
      <color indexed="81"/>
      <name val="Tahoma"/>
      <family val="2"/>
    </font>
    <font>
      <b/>
      <sz val="18"/>
      <name val="Calibri"/>
      <family val="2"/>
    </font>
    <font>
      <b/>
      <sz val="14"/>
      <color indexed="9"/>
      <name val="Calibri"/>
      <family val="2"/>
    </font>
    <font>
      <sz val="14"/>
      <name val="Calibri"/>
      <family val="2"/>
    </font>
    <font>
      <b/>
      <sz val="14"/>
      <name val="Calibri"/>
      <family val="2"/>
    </font>
    <font>
      <b/>
      <i/>
      <u/>
      <sz val="9"/>
      <name val="Arial"/>
      <family val="2"/>
    </font>
    <font>
      <u/>
      <sz val="9"/>
      <name val="Arial"/>
      <family val="2"/>
    </font>
    <font>
      <b/>
      <u/>
      <sz val="9"/>
      <name val="Arial"/>
      <family val="2"/>
    </font>
    <font>
      <b/>
      <sz val="11"/>
      <name val="Calibri"/>
      <family val="2"/>
    </font>
    <font>
      <b/>
      <sz val="9"/>
      <color indexed="81"/>
      <name val="Tahoma"/>
      <charset val="1"/>
    </font>
    <font>
      <sz val="9"/>
      <color indexed="81"/>
      <name val="Tahoma"/>
      <charset val="1"/>
    </font>
    <font>
      <sz val="11"/>
      <color theme="1"/>
      <name val="Calibri"/>
      <family val="2"/>
      <scheme val="minor"/>
    </font>
    <font>
      <i/>
      <u/>
      <sz val="9"/>
      <color rgb="FF0000FF"/>
      <name val="Arial"/>
      <family val="2"/>
    </font>
    <font>
      <sz val="12"/>
      <color rgb="FFFFFFFF"/>
      <name val="Arial"/>
      <family val="2"/>
    </font>
    <font>
      <i/>
      <sz val="8"/>
      <color rgb="FF333399"/>
      <name val="Arial"/>
      <family val="2"/>
    </font>
    <font>
      <b/>
      <sz val="11"/>
      <color theme="1"/>
      <name val="Calibri"/>
      <family val="2"/>
      <scheme val="minor"/>
    </font>
    <font>
      <sz val="9"/>
      <color rgb="FF00B050"/>
      <name val="Arial"/>
      <family val="2"/>
    </font>
    <font>
      <sz val="9"/>
      <color rgb="FF0070C0"/>
      <name val="Arial"/>
      <family val="2"/>
    </font>
    <font>
      <i/>
      <sz val="9"/>
      <color theme="5"/>
      <name val="Arial"/>
      <family val="2"/>
    </font>
    <font>
      <sz val="9"/>
      <color theme="1"/>
      <name val="Arial"/>
      <family val="2"/>
    </font>
    <font>
      <b/>
      <sz val="9"/>
      <color theme="1"/>
      <name val="Arial"/>
      <family val="2"/>
    </font>
    <font>
      <b/>
      <sz val="9"/>
      <color rgb="FF0070C0"/>
      <name val="Arial"/>
      <family val="2"/>
    </font>
    <font>
      <b/>
      <sz val="9"/>
      <color theme="0"/>
      <name val="Arial"/>
      <family val="2"/>
    </font>
    <font>
      <sz val="9"/>
      <color theme="4"/>
      <name val="Arial"/>
      <family val="2"/>
    </font>
    <font>
      <i/>
      <sz val="9"/>
      <color theme="1"/>
      <name val="Arial"/>
      <family val="2"/>
    </font>
    <font>
      <sz val="9"/>
      <color theme="2" tint="-0.749992370372631"/>
      <name val="Arial"/>
      <family val="2"/>
    </font>
    <font>
      <b/>
      <sz val="9"/>
      <color theme="2" tint="-0.749992370372631"/>
      <name val="Arial"/>
      <family val="2"/>
    </font>
    <font>
      <b/>
      <sz val="9"/>
      <color rgb="FF00B050"/>
      <name val="Arial"/>
      <family val="2"/>
    </font>
    <font>
      <sz val="9"/>
      <color theme="1" tint="0.14999847407452621"/>
      <name val="Arial"/>
      <family val="2"/>
    </font>
    <font>
      <b/>
      <sz val="9"/>
      <color theme="1" tint="0.14999847407452621"/>
      <name val="Arial"/>
      <family val="2"/>
    </font>
    <font>
      <i/>
      <sz val="9"/>
      <color theme="1" tint="0.14999847407452621"/>
      <name val="Arial"/>
      <family val="2"/>
    </font>
    <font>
      <sz val="14"/>
      <color rgb="FF000000"/>
      <name val="Calibri"/>
      <family val="2"/>
    </font>
    <font>
      <sz val="9"/>
      <color theme="9" tint="0.59999389629810485"/>
      <name val="Arial"/>
      <family val="2"/>
    </font>
  </fonts>
  <fills count="21">
    <fill>
      <patternFill patternType="none"/>
    </fill>
    <fill>
      <patternFill patternType="gray125"/>
    </fill>
    <fill>
      <patternFill patternType="solid">
        <fgColor indexed="18"/>
      </patternFill>
    </fill>
    <fill>
      <patternFill patternType="solid">
        <fgColor indexed="12"/>
        <bgColor indexed="64"/>
      </patternFill>
    </fill>
    <fill>
      <patternFill patternType="solid">
        <fgColor rgb="FF000080"/>
        <bgColor rgb="FF000080"/>
      </patternFill>
    </fill>
    <fill>
      <patternFill patternType="solid">
        <fgColor theme="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4" tint="0.79998168889431442"/>
        <bgColor indexed="64"/>
      </patternFill>
    </fill>
    <fill>
      <patternFill patternType="solid">
        <fgColor theme="2"/>
        <bgColor indexed="64"/>
      </patternFill>
    </fill>
    <fill>
      <patternFill patternType="solid">
        <fgColor theme="4" tint="-0.249977111117893"/>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5"/>
        <bgColor indexed="64"/>
      </patternFill>
    </fill>
    <fill>
      <patternFill patternType="solid">
        <fgColor theme="7" tint="0.59999389629810485"/>
        <bgColor indexed="64"/>
      </patternFill>
    </fill>
  </fills>
  <borders count="38">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theme="0"/>
      </top>
      <bottom/>
      <diagonal/>
    </border>
    <border>
      <left style="thin">
        <color indexed="64"/>
      </left>
      <right style="thick">
        <color theme="0"/>
      </right>
      <top style="thin">
        <color theme="0"/>
      </top>
      <bottom style="thick">
        <color theme="0"/>
      </bottom>
      <diagonal/>
    </border>
    <border>
      <left/>
      <right/>
      <top/>
      <bottom style="thin">
        <color theme="0" tint="-0.499984740745262"/>
      </bottom>
      <diagonal/>
    </border>
    <border>
      <left/>
      <right/>
      <top/>
      <bottom style="thick">
        <color theme="0"/>
      </bottom>
      <diagonal/>
    </border>
    <border>
      <left style="thick">
        <color theme="0"/>
      </left>
      <right style="thick">
        <color theme="0"/>
      </right>
      <top style="thick">
        <color theme="0"/>
      </top>
      <bottom style="thick">
        <color theme="0"/>
      </bottom>
      <diagonal/>
    </border>
    <border>
      <left style="thin">
        <color indexed="64"/>
      </left>
      <right/>
      <top style="thin">
        <color theme="0"/>
      </top>
      <bottom style="thick">
        <color theme="0"/>
      </bottom>
      <diagonal/>
    </border>
    <border>
      <left style="thin">
        <color indexed="64"/>
      </left>
      <right style="thin">
        <color theme="0"/>
      </right>
      <top style="thick">
        <color theme="0"/>
      </top>
      <bottom style="thick">
        <color theme="0"/>
      </bottom>
      <diagonal/>
    </border>
    <border>
      <left style="thin">
        <color indexed="64"/>
      </left>
      <right/>
      <top style="thick">
        <color theme="0"/>
      </top>
      <bottom style="thick">
        <color theme="0"/>
      </bottom>
      <diagonal/>
    </border>
    <border>
      <left/>
      <right/>
      <top style="thick">
        <color theme="0"/>
      </top>
      <bottom/>
      <diagonal/>
    </border>
    <border>
      <left/>
      <right/>
      <top style="thin">
        <color theme="0" tint="-0.499984740745262"/>
      </top>
      <bottom/>
      <diagonal/>
    </border>
    <border>
      <left/>
      <right/>
      <top style="thick">
        <color theme="0"/>
      </top>
      <bottom style="thick">
        <color theme="0"/>
      </bottom>
      <diagonal/>
    </border>
    <border>
      <left/>
      <right/>
      <top style="thin">
        <color theme="0" tint="-0.499984740745262"/>
      </top>
      <bottom style="thick">
        <color theme="0"/>
      </bottom>
      <diagonal/>
    </border>
    <border>
      <left/>
      <right style="medium">
        <color theme="0"/>
      </right>
      <top/>
      <bottom/>
      <diagonal/>
    </border>
    <border>
      <left/>
      <right/>
      <top/>
      <bottom style="thin">
        <color theme="1"/>
      </bottom>
      <diagonal/>
    </border>
    <border>
      <left style="medium">
        <color theme="0"/>
      </left>
      <right style="medium">
        <color theme="0"/>
      </right>
      <top style="medium">
        <color theme="0"/>
      </top>
      <bottom style="medium">
        <color theme="0"/>
      </bottom>
      <diagonal/>
    </border>
    <border>
      <left style="thin">
        <color theme="0"/>
      </left>
      <right/>
      <top style="thin">
        <color theme="0"/>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medium">
        <color theme="0"/>
      </right>
      <top style="thin">
        <color theme="0"/>
      </top>
      <bottom style="thin">
        <color theme="0"/>
      </bottom>
      <diagonal/>
    </border>
    <border>
      <left/>
      <right/>
      <top style="thin">
        <color theme="0"/>
      </top>
      <bottom style="thin">
        <color indexed="64"/>
      </bottom>
      <diagonal/>
    </border>
    <border>
      <left/>
      <right/>
      <top/>
      <bottom style="thin">
        <color theme="0"/>
      </bottom>
      <diagonal/>
    </border>
  </borders>
  <cellStyleXfs count="20">
    <xf numFmtId="0" fontId="0" fillId="0" borderId="0"/>
    <xf numFmtId="166" fontId="2" fillId="0" borderId="0"/>
    <xf numFmtId="179" fontId="2" fillId="0" borderId="0"/>
    <xf numFmtId="165" fontId="2" fillId="0" borderId="0"/>
    <xf numFmtId="180" fontId="2" fillId="0" borderId="0"/>
    <xf numFmtId="0" fontId="3" fillId="0" borderId="0" applyNumberFormat="0" applyFill="0" applyBorder="0" applyAlignment="0" applyProtection="0">
      <alignment vertical="top"/>
      <protection locked="0"/>
    </xf>
    <xf numFmtId="0" fontId="26" fillId="0" borderId="0" applyBorder="0" applyAlignment="0" applyProtection="0"/>
    <xf numFmtId="0" fontId="27" fillId="4" borderId="0">
      <alignment vertical="center"/>
    </xf>
    <xf numFmtId="0" fontId="6" fillId="0" borderId="0"/>
    <xf numFmtId="0" fontId="28" fillId="0" borderId="0"/>
    <xf numFmtId="43" fontId="25" fillId="0" borderId="0" applyFont="0" applyFill="0" applyBorder="0" applyAlignment="0" applyProtection="0"/>
    <xf numFmtId="182" fontId="2" fillId="0" borderId="0" applyBorder="0" applyAlignment="0" applyProtection="0"/>
    <xf numFmtId="0" fontId="2" fillId="0" borderId="0"/>
    <xf numFmtId="9" fontId="25" fillId="0" borderId="0" applyFont="0" applyFill="0" applyBorder="0" applyAlignment="0" applyProtection="0"/>
    <xf numFmtId="9" fontId="2" fillId="0" borderId="0" applyBorder="0" applyAlignment="0" applyProtection="0"/>
    <xf numFmtId="0" fontId="5" fillId="0" borderId="0">
      <alignment horizontal="center"/>
    </xf>
    <xf numFmtId="15" fontId="5" fillId="0" borderId="0">
      <alignment horizontal="center"/>
    </xf>
    <xf numFmtId="181" fontId="5" fillId="0" borderId="0">
      <alignment horizontal="center"/>
    </xf>
    <xf numFmtId="0" fontId="4" fillId="2" borderId="0">
      <alignment vertical="center"/>
    </xf>
    <xf numFmtId="0" fontId="1" fillId="0" borderId="0"/>
  </cellStyleXfs>
  <cellXfs count="299">
    <xf numFmtId="0" fontId="0" fillId="0" borderId="0" xfId="0"/>
    <xf numFmtId="0" fontId="1" fillId="0" borderId="0" xfId="0" applyFont="1" applyAlignment="1">
      <alignment horizontal="center"/>
    </xf>
    <xf numFmtId="165" fontId="2" fillId="0" borderId="0" xfId="3"/>
    <xf numFmtId="0" fontId="0" fillId="0" borderId="0" xfId="0" applyProtection="1">
      <protection locked="0"/>
    </xf>
    <xf numFmtId="0" fontId="3" fillId="0" borderId="0" xfId="5" applyAlignment="1" applyProtection="1"/>
    <xf numFmtId="0" fontId="2" fillId="0" borderId="0" xfId="0" applyFont="1"/>
    <xf numFmtId="166" fontId="2" fillId="0" borderId="0" xfId="1"/>
    <xf numFmtId="0" fontId="5" fillId="0" borderId="0" xfId="15">
      <alignment horizontal="center"/>
    </xf>
    <xf numFmtId="0" fontId="6" fillId="0" borderId="0" xfId="8" applyFont="1" applyAlignment="1">
      <alignment horizontal="right"/>
    </xf>
    <xf numFmtId="0" fontId="5" fillId="0" borderId="0" xfId="0" applyFont="1" applyAlignment="1">
      <alignment horizontal="center"/>
    </xf>
    <xf numFmtId="15" fontId="5" fillId="0" borderId="0" xfId="16">
      <alignment horizontal="center"/>
    </xf>
    <xf numFmtId="0" fontId="1" fillId="0" borderId="0" xfId="19" applyAlignment="1">
      <alignment horizontal="center"/>
    </xf>
    <xf numFmtId="0" fontId="1" fillId="0" borderId="1" xfId="19" applyBorder="1" applyAlignment="1">
      <alignment horizontal="center"/>
    </xf>
    <xf numFmtId="0" fontId="6" fillId="0" borderId="1" xfId="8" applyFont="1" applyBorder="1" applyAlignment="1">
      <alignment horizontal="right"/>
    </xf>
    <xf numFmtId="0" fontId="0" fillId="0" borderId="1" xfId="0" applyBorder="1"/>
    <xf numFmtId="0" fontId="0" fillId="0" borderId="2" xfId="0" applyBorder="1"/>
    <xf numFmtId="0" fontId="3" fillId="0" borderId="0" xfId="5" applyAlignment="1" applyProtection="1">
      <alignment horizontal="left" indent="1"/>
    </xf>
    <xf numFmtId="10" fontId="0" fillId="0" borderId="0" xfId="0" applyNumberFormat="1"/>
    <xf numFmtId="9" fontId="0" fillId="0" borderId="0" xfId="0" applyNumberFormat="1"/>
    <xf numFmtId="0" fontId="1" fillId="0" borderId="0" xfId="0" applyFont="1"/>
    <xf numFmtId="0" fontId="1" fillId="0" borderId="0" xfId="0" applyFont="1" applyProtection="1">
      <protection locked="0"/>
    </xf>
    <xf numFmtId="43" fontId="0" fillId="0" borderId="0" xfId="10" applyFont="1"/>
    <xf numFmtId="168" fontId="1" fillId="0" borderId="0" xfId="10" applyNumberFormat="1" applyFont="1"/>
    <xf numFmtId="43" fontId="1" fillId="0" borderId="0" xfId="0" applyNumberFormat="1" applyFont="1"/>
    <xf numFmtId="169" fontId="2" fillId="0" borderId="0" xfId="0" applyNumberFormat="1" applyFont="1"/>
    <xf numFmtId="0" fontId="8" fillId="0" borderId="0" xfId="0" applyFont="1"/>
    <xf numFmtId="0" fontId="4" fillId="5" borderId="0" xfId="18" applyFont="1" applyFill="1">
      <alignment vertical="center"/>
    </xf>
    <xf numFmtId="0" fontId="4" fillId="5" borderId="3" xfId="0" applyFont="1" applyFill="1" applyBorder="1"/>
    <xf numFmtId="0" fontId="7" fillId="5" borderId="4" xfId="0" applyFont="1" applyFill="1" applyBorder="1"/>
    <xf numFmtId="0" fontId="2" fillId="6" borderId="3" xfId="0" applyFont="1" applyFill="1" applyBorder="1" applyAlignment="1">
      <alignment horizontal="left" vertical="top" wrapText="1"/>
    </xf>
    <xf numFmtId="0" fontId="2" fillId="6" borderId="5" xfId="0" applyFont="1" applyFill="1" applyBorder="1" applyAlignment="1">
      <alignment horizontal="left" vertical="top" wrapText="1"/>
    </xf>
    <xf numFmtId="0" fontId="2" fillId="6" borderId="4" xfId="0" applyFont="1" applyFill="1" applyBorder="1" applyAlignment="1">
      <alignment horizontal="left" vertical="top" wrapText="1"/>
    </xf>
    <xf numFmtId="0" fontId="0" fillId="6" borderId="6" xfId="0" applyFill="1" applyBorder="1"/>
    <xf numFmtId="0" fontId="0" fillId="5" borderId="0" xfId="0" applyFill="1"/>
    <xf numFmtId="2" fontId="0" fillId="0" borderId="0" xfId="0" applyNumberFormat="1"/>
    <xf numFmtId="0" fontId="0" fillId="0" borderId="0" xfId="0" applyAlignment="1">
      <alignment horizontal="right"/>
    </xf>
    <xf numFmtId="0" fontId="1" fillId="0" borderId="3" xfId="0" applyFont="1" applyBorder="1" applyAlignment="1">
      <alignment horizontal="center"/>
    </xf>
    <xf numFmtId="0" fontId="1" fillId="0" borderId="4" xfId="19" applyBorder="1" applyAlignment="1">
      <alignment horizontal="center"/>
    </xf>
    <xf numFmtId="0" fontId="5" fillId="0" borderId="5" xfId="15" applyBorder="1">
      <alignment horizontal="center"/>
    </xf>
    <xf numFmtId="15" fontId="5" fillId="0" borderId="5" xfId="16" applyBorder="1">
      <alignment horizontal="center"/>
    </xf>
    <xf numFmtId="0" fontId="0" fillId="0" borderId="5" xfId="0" applyBorder="1"/>
    <xf numFmtId="0" fontId="2" fillId="0" borderId="5" xfId="0" applyFont="1" applyBorder="1"/>
    <xf numFmtId="0" fontId="0" fillId="5" borderId="5" xfId="0" applyFill="1" applyBorder="1"/>
    <xf numFmtId="169" fontId="1" fillId="0" borderId="6" xfId="0" applyNumberFormat="1" applyFont="1" applyBorder="1"/>
    <xf numFmtId="169" fontId="2" fillId="0" borderId="6" xfId="0" applyNumberFormat="1" applyFont="1" applyBorder="1"/>
    <xf numFmtId="167" fontId="1" fillId="0" borderId="6" xfId="10" applyNumberFormat="1" applyFont="1" applyBorder="1"/>
    <xf numFmtId="43" fontId="1" fillId="0" borderId="6" xfId="10" applyFont="1" applyBorder="1"/>
    <xf numFmtId="43" fontId="0" fillId="0" borderId="6" xfId="10" applyFont="1" applyBorder="1"/>
    <xf numFmtId="169" fontId="0" fillId="0" borderId="6" xfId="0" applyNumberFormat="1" applyBorder="1"/>
    <xf numFmtId="0" fontId="0" fillId="0" borderId="0" xfId="0" applyAlignment="1">
      <alignment horizontal="left" indent="1"/>
    </xf>
    <xf numFmtId="0" fontId="8" fillId="0" borderId="0" xfId="0" applyFont="1" applyAlignment="1">
      <alignment horizontal="left" indent="1"/>
    </xf>
    <xf numFmtId="43" fontId="30" fillId="0" borderId="0" xfId="10" applyFont="1"/>
    <xf numFmtId="4" fontId="0" fillId="0" borderId="0" xfId="0" applyNumberFormat="1"/>
    <xf numFmtId="0" fontId="2" fillId="0" borderId="0" xfId="0" applyFont="1" applyAlignment="1">
      <alignment horizontal="left" indent="1"/>
    </xf>
    <xf numFmtId="9" fontId="31" fillId="7" borderId="0" xfId="0" applyNumberFormat="1" applyFont="1" applyFill="1"/>
    <xf numFmtId="43" fontId="10" fillId="8" borderId="0" xfId="10" applyFont="1" applyFill="1"/>
    <xf numFmtId="9" fontId="31" fillId="8" borderId="0" xfId="0" applyNumberFormat="1" applyFont="1" applyFill="1"/>
    <xf numFmtId="171" fontId="0" fillId="0" borderId="0" xfId="10" applyNumberFormat="1" applyFont="1"/>
    <xf numFmtId="3" fontId="0" fillId="0" borderId="0" xfId="0" applyNumberFormat="1"/>
    <xf numFmtId="164" fontId="0" fillId="0" borderId="0" xfId="0" applyNumberFormat="1"/>
    <xf numFmtId="1" fontId="0" fillId="0" borderId="0" xfId="0" applyNumberFormat="1"/>
    <xf numFmtId="0" fontId="31" fillId="0" borderId="0" xfId="0" applyFont="1"/>
    <xf numFmtId="0" fontId="0" fillId="8" borderId="0" xfId="0" applyFill="1"/>
    <xf numFmtId="9" fontId="2" fillId="7" borderId="0" xfId="0" applyNumberFormat="1" applyFont="1" applyFill="1"/>
    <xf numFmtId="170" fontId="32" fillId="0" borderId="0" xfId="0" applyNumberFormat="1" applyFont="1"/>
    <xf numFmtId="0" fontId="32" fillId="0" borderId="0" xfId="0" applyFont="1" applyAlignment="1">
      <alignment horizontal="left" indent="1"/>
    </xf>
    <xf numFmtId="172" fontId="0" fillId="0" borderId="0" xfId="10" applyNumberFormat="1" applyFont="1"/>
    <xf numFmtId="172" fontId="1" fillId="0" borderId="0" xfId="10" applyNumberFormat="1" applyFont="1"/>
    <xf numFmtId="172" fontId="8" fillId="0" borderId="0" xfId="10" applyNumberFormat="1" applyFont="1"/>
    <xf numFmtId="167" fontId="1" fillId="0" borderId="0" xfId="10" applyNumberFormat="1" applyFont="1"/>
    <xf numFmtId="167" fontId="0" fillId="0" borderId="0" xfId="10" applyNumberFormat="1" applyFont="1"/>
    <xf numFmtId="173" fontId="0" fillId="0" borderId="0" xfId="0" applyNumberFormat="1"/>
    <xf numFmtId="173" fontId="1" fillId="0" borderId="0" xfId="0" applyNumberFormat="1" applyFont="1"/>
    <xf numFmtId="167" fontId="9" fillId="8" borderId="0" xfId="10" applyNumberFormat="1" applyFont="1" applyFill="1"/>
    <xf numFmtId="169" fontId="2" fillId="0" borderId="0" xfId="0" applyNumberFormat="1" applyFont="1" applyBorder="1"/>
    <xf numFmtId="0" fontId="0" fillId="0" borderId="0" xfId="0" applyBorder="1"/>
    <xf numFmtId="167" fontId="0" fillId="0" borderId="0" xfId="10" applyNumberFormat="1" applyFont="1" applyBorder="1"/>
    <xf numFmtId="9" fontId="31" fillId="0" borderId="0" xfId="0" applyNumberFormat="1" applyFont="1"/>
    <xf numFmtId="9" fontId="9" fillId="8" borderId="0" xfId="10" applyNumberFormat="1" applyFont="1" applyFill="1"/>
    <xf numFmtId="9" fontId="31" fillId="0" borderId="0" xfId="10" applyNumberFormat="1" applyFont="1"/>
    <xf numFmtId="171" fontId="8" fillId="0" borderId="0" xfId="10" applyNumberFormat="1" applyFont="1"/>
    <xf numFmtId="0" fontId="1" fillId="0" borderId="7" xfId="0" applyFont="1" applyBorder="1"/>
    <xf numFmtId="167" fontId="31" fillId="7" borderId="0" xfId="10" applyNumberFormat="1" applyFont="1" applyFill="1"/>
    <xf numFmtId="172" fontId="0" fillId="0" borderId="0" xfId="0" applyNumberFormat="1"/>
    <xf numFmtId="0" fontId="33" fillId="0" borderId="0" xfId="0" applyFont="1"/>
    <xf numFmtId="172" fontId="2" fillId="0" borderId="0" xfId="10" applyNumberFormat="1" applyFont="1"/>
    <xf numFmtId="171" fontId="1" fillId="0" borderId="0" xfId="0" applyNumberFormat="1" applyFont="1"/>
    <xf numFmtId="0" fontId="2" fillId="0" borderId="0" xfId="0" applyFont="1" applyAlignment="1">
      <alignment horizontal="left"/>
    </xf>
    <xf numFmtId="3" fontId="31" fillId="0" borderId="0" xfId="0" applyNumberFormat="1" applyFont="1"/>
    <xf numFmtId="43" fontId="1" fillId="8" borderId="7" xfId="10" applyFont="1" applyFill="1" applyBorder="1"/>
    <xf numFmtId="4" fontId="1" fillId="0" borderId="0" xfId="0" applyNumberFormat="1" applyFont="1"/>
    <xf numFmtId="0" fontId="2" fillId="0" borderId="0" xfId="0" applyFont="1" applyBorder="1"/>
    <xf numFmtId="171" fontId="12" fillId="8" borderId="0" xfId="10" applyNumberFormat="1" applyFont="1" applyFill="1"/>
    <xf numFmtId="3" fontId="0" fillId="8" borderId="0" xfId="0" applyNumberFormat="1" applyFill="1"/>
    <xf numFmtId="43" fontId="34" fillId="0" borderId="0" xfId="10" applyFont="1"/>
    <xf numFmtId="9" fontId="35" fillId="7" borderId="0" xfId="0" applyNumberFormat="1" applyFont="1" applyFill="1"/>
    <xf numFmtId="167" fontId="0" fillId="0" borderId="6" xfId="10" applyNumberFormat="1" applyFont="1" applyBorder="1"/>
    <xf numFmtId="43" fontId="0" fillId="0" borderId="0" xfId="0" applyNumberFormat="1"/>
    <xf numFmtId="43" fontId="31" fillId="8" borderId="0" xfId="10" applyFont="1" applyFill="1"/>
    <xf numFmtId="0" fontId="30" fillId="0" borderId="0" xfId="0" applyFont="1"/>
    <xf numFmtId="9" fontId="35" fillId="9" borderId="0" xfId="0" applyNumberFormat="1" applyFont="1" applyFill="1"/>
    <xf numFmtId="171" fontId="2" fillId="0" borderId="0" xfId="10" applyNumberFormat="1" applyFont="1"/>
    <xf numFmtId="0" fontId="0" fillId="0" borderId="0" xfId="0" applyAlignment="1">
      <alignment horizontal="center"/>
    </xf>
    <xf numFmtId="0" fontId="2" fillId="0" borderId="0" xfId="0" applyFont="1" applyAlignment="1">
      <alignment horizontal="center"/>
    </xf>
    <xf numFmtId="167" fontId="1" fillId="8" borderId="0" xfId="10" applyNumberFormat="1" applyFont="1" applyFill="1"/>
    <xf numFmtId="0" fontId="33" fillId="8" borderId="0" xfId="0" applyFont="1" applyFill="1"/>
    <xf numFmtId="0" fontId="33" fillId="8" borderId="0" xfId="0" applyFont="1" applyFill="1" applyAlignment="1">
      <alignment horizontal="left" indent="1"/>
    </xf>
    <xf numFmtId="171" fontId="1" fillId="0" borderId="0" xfId="10" applyNumberFormat="1" applyFont="1"/>
    <xf numFmtId="9" fontId="30" fillId="8" borderId="0" xfId="0" applyNumberFormat="1" applyFont="1" applyFill="1"/>
    <xf numFmtId="0" fontId="30" fillId="8" borderId="0" xfId="0" applyFont="1" applyFill="1"/>
    <xf numFmtId="0" fontId="8" fillId="8" borderId="0" xfId="0" applyFont="1" applyFill="1" applyAlignment="1">
      <alignment horizontal="left" indent="1"/>
    </xf>
    <xf numFmtId="0" fontId="30" fillId="0" borderId="1" xfId="0" applyFont="1" applyBorder="1"/>
    <xf numFmtId="0" fontId="3" fillId="0" borderId="0" xfId="5" applyBorder="1" applyAlignment="1" applyProtection="1">
      <alignment horizontal="left" indent="1"/>
    </xf>
    <xf numFmtId="0" fontId="1" fillId="0" borderId="8" xfId="0" applyFont="1" applyBorder="1"/>
    <xf numFmtId="3" fontId="1" fillId="0" borderId="8" xfId="0" applyNumberFormat="1" applyFont="1" applyBorder="1"/>
    <xf numFmtId="164" fontId="1" fillId="0" borderId="8" xfId="0" applyNumberFormat="1" applyFont="1" applyBorder="1"/>
    <xf numFmtId="0" fontId="4" fillId="10" borderId="0" xfId="18" applyFont="1" applyFill="1">
      <alignment vertical="center"/>
    </xf>
    <xf numFmtId="0" fontId="0" fillId="10" borderId="0" xfId="0" applyFill="1"/>
    <xf numFmtId="0" fontId="4" fillId="10" borderId="3" xfId="0" applyFont="1" applyFill="1" applyBorder="1"/>
    <xf numFmtId="0" fontId="7" fillId="10" borderId="4" xfId="0" applyFont="1" applyFill="1" applyBorder="1"/>
    <xf numFmtId="0" fontId="2" fillId="11" borderId="3" xfId="0" applyFont="1" applyFill="1" applyBorder="1" applyAlignment="1">
      <alignment horizontal="left" vertical="top" wrapText="1"/>
    </xf>
    <xf numFmtId="0" fontId="2" fillId="11" borderId="5" xfId="0" applyFont="1" applyFill="1" applyBorder="1" applyAlignment="1">
      <alignment horizontal="left" vertical="top" wrapText="1"/>
    </xf>
    <xf numFmtId="0" fontId="2" fillId="11" borderId="4" xfId="0" applyFont="1" applyFill="1" applyBorder="1" applyAlignment="1">
      <alignment horizontal="left" vertical="top" wrapText="1"/>
    </xf>
    <xf numFmtId="0" fontId="0" fillId="11" borderId="6" xfId="0" applyFill="1" applyBorder="1"/>
    <xf numFmtId="176" fontId="1" fillId="0" borderId="0" xfId="0" applyNumberFormat="1" applyFont="1" applyAlignment="1"/>
    <xf numFmtId="167" fontId="1" fillId="0" borderId="0" xfId="0" applyNumberFormat="1" applyFont="1"/>
    <xf numFmtId="43" fontId="2" fillId="0" borderId="0" xfId="0" applyNumberFormat="1" applyFont="1"/>
    <xf numFmtId="0" fontId="2" fillId="0" borderId="0" xfId="0" applyFont="1" applyBorder="1" applyAlignment="1">
      <alignment horizontal="center"/>
    </xf>
    <xf numFmtId="0" fontId="34" fillId="0" borderId="0" xfId="0" applyFont="1" applyBorder="1"/>
    <xf numFmtId="0" fontId="34" fillId="0" borderId="17" xfId="0" applyFont="1" applyBorder="1"/>
    <xf numFmtId="174" fontId="2" fillId="0" borderId="0" xfId="0" applyNumberFormat="1" applyFont="1" applyBorder="1"/>
    <xf numFmtId="0" fontId="34" fillId="6" borderId="18" xfId="0" applyFont="1" applyFill="1" applyBorder="1" applyAlignment="1">
      <alignment horizontal="center"/>
    </xf>
    <xf numFmtId="0" fontId="1" fillId="0" borderId="0" xfId="0" applyFont="1" applyBorder="1" applyAlignment="1">
      <alignment horizontal="center"/>
    </xf>
    <xf numFmtId="175" fontId="2" fillId="0" borderId="0" xfId="0" applyNumberFormat="1" applyFont="1" applyBorder="1"/>
    <xf numFmtId="3" fontId="2" fillId="0" borderId="19" xfId="0" applyNumberFormat="1" applyFont="1" applyBorder="1"/>
    <xf numFmtId="3" fontId="2" fillId="0" borderId="0" xfId="0" applyNumberFormat="1" applyFont="1"/>
    <xf numFmtId="43" fontId="34" fillId="0" borderId="0" xfId="10" applyFont="1" applyAlignment="1">
      <alignment horizontal="center"/>
    </xf>
    <xf numFmtId="176" fontId="1" fillId="0" borderId="0" xfId="0" applyNumberFormat="1" applyFont="1" applyAlignment="1">
      <alignment horizontal="right" indent="2"/>
    </xf>
    <xf numFmtId="0" fontId="0" fillId="0" borderId="20" xfId="0" applyBorder="1"/>
    <xf numFmtId="0" fontId="1" fillId="12" borderId="21" xfId="0" applyFont="1" applyFill="1" applyBorder="1" applyAlignment="1">
      <alignment horizontal="center"/>
    </xf>
    <xf numFmtId="4" fontId="31" fillId="0" borderId="0" xfId="0" applyNumberFormat="1" applyFont="1"/>
    <xf numFmtId="0" fontId="0" fillId="0" borderId="0" xfId="0" applyAlignment="1">
      <alignment horizontal="left" vertical="center"/>
    </xf>
    <xf numFmtId="0" fontId="36" fillId="13" borderId="0" xfId="0" applyFont="1" applyFill="1" applyAlignment="1">
      <alignment horizontal="left" vertical="center"/>
    </xf>
    <xf numFmtId="0" fontId="33" fillId="11" borderId="22" xfId="0" applyFont="1" applyFill="1" applyBorder="1"/>
    <xf numFmtId="0" fontId="33" fillId="11" borderId="23" xfId="0" applyFont="1" applyFill="1" applyBorder="1"/>
    <xf numFmtId="0" fontId="33" fillId="11" borderId="24" xfId="0" applyFont="1" applyFill="1" applyBorder="1"/>
    <xf numFmtId="175" fontId="37" fillId="0" borderId="0" xfId="0" applyNumberFormat="1" applyFont="1" applyBorder="1"/>
    <xf numFmtId="175" fontId="31" fillId="0" borderId="0" xfId="0" applyNumberFormat="1" applyFont="1" applyBorder="1"/>
    <xf numFmtId="167" fontId="2" fillId="0" borderId="0" xfId="0" applyNumberFormat="1" applyFont="1"/>
    <xf numFmtId="0" fontId="0" fillId="0" borderId="25" xfId="0" applyBorder="1"/>
    <xf numFmtId="9" fontId="1" fillId="0" borderId="0" xfId="13" applyFont="1"/>
    <xf numFmtId="9" fontId="2" fillId="0" borderId="0" xfId="13" applyFont="1"/>
    <xf numFmtId="9" fontId="8" fillId="0" borderId="5" xfId="13" applyFont="1" applyBorder="1"/>
    <xf numFmtId="10" fontId="0" fillId="0" borderId="0" xfId="13" applyNumberFormat="1" applyFont="1"/>
    <xf numFmtId="9" fontId="8" fillId="0" borderId="6" xfId="0" applyNumberFormat="1" applyFont="1" applyBorder="1"/>
    <xf numFmtId="169" fontId="8" fillId="0" borderId="6" xfId="0" applyNumberFormat="1" applyFont="1" applyBorder="1"/>
    <xf numFmtId="169" fontId="38" fillId="8" borderId="6" xfId="0" applyNumberFormat="1" applyFont="1" applyFill="1" applyBorder="1"/>
    <xf numFmtId="169" fontId="34" fillId="8" borderId="6" xfId="0" applyNumberFormat="1" applyFont="1" applyFill="1" applyBorder="1"/>
    <xf numFmtId="9" fontId="1" fillId="0" borderId="0" xfId="0" applyNumberFormat="1" applyFont="1"/>
    <xf numFmtId="9" fontId="8" fillId="0" borderId="5" xfId="13" applyFont="1" applyBorder="1" applyAlignment="1">
      <alignment horizontal="right"/>
    </xf>
    <xf numFmtId="170" fontId="1" fillId="0" borderId="0" xfId="0" applyNumberFormat="1" applyFont="1"/>
    <xf numFmtId="10" fontId="1" fillId="0" borderId="0" xfId="0" applyNumberFormat="1" applyFont="1"/>
    <xf numFmtId="0" fontId="39" fillId="0" borderId="0" xfId="0" applyFont="1"/>
    <xf numFmtId="0" fontId="40" fillId="12" borderId="21" xfId="0" applyFont="1" applyFill="1" applyBorder="1" applyAlignment="1">
      <alignment horizontal="center"/>
    </xf>
    <xf numFmtId="3" fontId="39" fillId="0" borderId="19" xfId="0" applyNumberFormat="1" applyFont="1" applyBorder="1"/>
    <xf numFmtId="3" fontId="39" fillId="0" borderId="0" xfId="0" applyNumberFormat="1" applyFont="1"/>
    <xf numFmtId="3" fontId="40" fillId="0" borderId="0" xfId="0" applyNumberFormat="1" applyFont="1"/>
    <xf numFmtId="0" fontId="39" fillId="0" borderId="0" xfId="0" applyFont="1" applyAlignment="1">
      <alignment horizontal="left" vertical="center"/>
    </xf>
    <xf numFmtId="0" fontId="39" fillId="0" borderId="19" xfId="0" applyFont="1" applyBorder="1" applyAlignment="1">
      <alignment horizontal="left" vertical="center"/>
    </xf>
    <xf numFmtId="0" fontId="39" fillId="0" borderId="26" xfId="0" applyFont="1" applyBorder="1" applyAlignment="1">
      <alignment horizontal="left" vertical="center"/>
    </xf>
    <xf numFmtId="0" fontId="39" fillId="0" borderId="0" xfId="0" applyFont="1" applyBorder="1" applyAlignment="1">
      <alignment horizontal="left" vertical="center"/>
    </xf>
    <xf numFmtId="0" fontId="40" fillId="8" borderId="25" xfId="0" applyFont="1" applyFill="1" applyBorder="1" applyAlignment="1">
      <alignment horizontal="left" vertical="center"/>
    </xf>
    <xf numFmtId="0" fontId="39" fillId="11" borderId="27" xfId="0" applyFont="1" applyFill="1" applyBorder="1" applyAlignment="1">
      <alignment horizontal="left" vertical="center"/>
    </xf>
    <xf numFmtId="4" fontId="39" fillId="0" borderId="0" xfId="0" applyNumberFormat="1" applyFont="1"/>
    <xf numFmtId="0" fontId="39" fillId="11" borderId="20" xfId="0" applyFont="1" applyFill="1" applyBorder="1" applyAlignment="1">
      <alignment horizontal="left" vertical="center"/>
    </xf>
    <xf numFmtId="0" fontId="39" fillId="0" borderId="28" xfId="0" applyFont="1" applyBorder="1" applyAlignment="1">
      <alignment horizontal="left" vertical="center"/>
    </xf>
    <xf numFmtId="0" fontId="40" fillId="7" borderId="20" xfId="0" applyFont="1" applyFill="1" applyBorder="1" applyAlignment="1">
      <alignment horizontal="left" vertical="center"/>
    </xf>
    <xf numFmtId="167" fontId="2" fillId="8" borderId="0" xfId="10" applyNumberFormat="1" applyFont="1" applyFill="1"/>
    <xf numFmtId="0" fontId="1" fillId="7" borderId="0" xfId="0" applyFont="1" applyFill="1"/>
    <xf numFmtId="9" fontId="1" fillId="14" borderId="0" xfId="0" applyNumberFormat="1" applyFont="1" applyFill="1"/>
    <xf numFmtId="9" fontId="0" fillId="0" borderId="0" xfId="13" applyFont="1"/>
    <xf numFmtId="167" fontId="0" fillId="0" borderId="0" xfId="0" applyNumberFormat="1"/>
    <xf numFmtId="0" fontId="1" fillId="14" borderId="0" xfId="0" applyFont="1" applyFill="1"/>
    <xf numFmtId="167" fontId="41" fillId="0" borderId="0" xfId="0" applyNumberFormat="1" applyFont="1"/>
    <xf numFmtId="167" fontId="1" fillId="14" borderId="0" xfId="10" applyNumberFormat="1" applyFont="1" applyFill="1" applyAlignment="1">
      <alignment horizontal="left" indent="3"/>
    </xf>
    <xf numFmtId="0" fontId="39" fillId="11" borderId="0" xfId="0" applyFont="1" applyFill="1" applyBorder="1" applyAlignment="1">
      <alignment horizontal="left" vertical="center"/>
    </xf>
    <xf numFmtId="10" fontId="31" fillId="0" borderId="0" xfId="0" applyNumberFormat="1" applyFont="1" applyBorder="1"/>
    <xf numFmtId="0" fontId="42" fillId="0" borderId="0" xfId="12" applyFont="1"/>
    <xf numFmtId="0" fontId="43" fillId="0" borderId="0" xfId="12" applyFont="1" applyAlignment="1">
      <alignment horizontal="center"/>
    </xf>
    <xf numFmtId="0" fontId="43" fillId="14" borderId="29" xfId="12" applyFont="1" applyFill="1" applyBorder="1" applyAlignment="1">
      <alignment horizontal="center"/>
    </xf>
    <xf numFmtId="0" fontId="42" fillId="0" borderId="30" xfId="12" applyFont="1" applyBorder="1"/>
    <xf numFmtId="0" fontId="43" fillId="0" borderId="0" xfId="12" applyFont="1"/>
    <xf numFmtId="43" fontId="30" fillId="0" borderId="0" xfId="12" applyNumberFormat="1" applyFont="1"/>
    <xf numFmtId="43" fontId="31" fillId="0" borderId="0" xfId="12" applyNumberFormat="1" applyFont="1"/>
    <xf numFmtId="168" fontId="30" fillId="0" borderId="0" xfId="12" applyNumberFormat="1" applyFont="1"/>
    <xf numFmtId="168" fontId="31" fillId="0" borderId="0" xfId="12" applyNumberFormat="1" applyFont="1"/>
    <xf numFmtId="178" fontId="31" fillId="7" borderId="31" xfId="12" applyNumberFormat="1" applyFont="1" applyFill="1" applyBorder="1"/>
    <xf numFmtId="0" fontId="44" fillId="0" borderId="0" xfId="12" applyFont="1" applyAlignment="1">
      <alignment horizontal="left" indent="1"/>
    </xf>
    <xf numFmtId="168" fontId="38" fillId="0" borderId="0" xfId="12" applyNumberFormat="1" applyFont="1"/>
    <xf numFmtId="177" fontId="31" fillId="7" borderId="31" xfId="12" applyNumberFormat="1" applyFont="1" applyFill="1" applyBorder="1"/>
    <xf numFmtId="0" fontId="43" fillId="7" borderId="0" xfId="12" applyFont="1" applyFill="1"/>
    <xf numFmtId="168" fontId="43" fillId="0" borderId="0" xfId="12" applyNumberFormat="1" applyFont="1"/>
    <xf numFmtId="0" fontId="43" fillId="15" borderId="0" xfId="12" applyFont="1" applyFill="1"/>
    <xf numFmtId="0" fontId="2" fillId="0" borderId="0" xfId="0" applyFont="1" applyAlignment="1">
      <alignment horizontal="left" vertical="center"/>
    </xf>
    <xf numFmtId="170" fontId="0" fillId="0" borderId="0" xfId="0" applyNumberFormat="1"/>
    <xf numFmtId="168" fontId="33" fillId="0" borderId="0" xfId="12" applyNumberFormat="1" applyFont="1"/>
    <xf numFmtId="43" fontId="33" fillId="0" borderId="0" xfId="12" applyNumberFormat="1" applyFont="1"/>
    <xf numFmtId="175" fontId="33" fillId="0" borderId="0" xfId="0" applyNumberFormat="1" applyFont="1" applyBorder="1"/>
    <xf numFmtId="167" fontId="34" fillId="8" borderId="0" xfId="10" applyNumberFormat="1" applyFont="1" applyFill="1"/>
    <xf numFmtId="172" fontId="34" fillId="0" borderId="0" xfId="0" applyNumberFormat="1" applyFont="1"/>
    <xf numFmtId="172" fontId="38" fillId="0" borderId="0" xfId="0" applyNumberFormat="1" applyFont="1"/>
    <xf numFmtId="0" fontId="31" fillId="8" borderId="0" xfId="0" applyFont="1" applyFill="1"/>
    <xf numFmtId="0" fontId="2" fillId="0" borderId="0" xfId="12"/>
    <xf numFmtId="0" fontId="2" fillId="0" borderId="0" xfId="12" applyFont="1"/>
    <xf numFmtId="0" fontId="1" fillId="0" borderId="0" xfId="12" applyFont="1"/>
    <xf numFmtId="169" fontId="0" fillId="0" borderId="5" xfId="0" applyNumberFormat="1" applyBorder="1"/>
    <xf numFmtId="9" fontId="33" fillId="0" borderId="0" xfId="0" applyNumberFormat="1" applyFont="1"/>
    <xf numFmtId="170" fontId="31" fillId="0" borderId="0" xfId="0" applyNumberFormat="1" applyFont="1"/>
    <xf numFmtId="170" fontId="33" fillId="0" borderId="0" xfId="0" applyNumberFormat="1" applyFont="1"/>
    <xf numFmtId="0" fontId="16" fillId="3" borderId="9" xfId="0" applyFont="1" applyFill="1" applyBorder="1" applyAlignment="1">
      <alignment horizontal="center"/>
    </xf>
    <xf numFmtId="0" fontId="16" fillId="3" borderId="10" xfId="0" applyFont="1" applyFill="1" applyBorder="1" applyAlignment="1">
      <alignment horizontal="center"/>
    </xf>
    <xf numFmtId="0" fontId="17" fillId="0" borderId="9" xfId="0" applyFont="1" applyBorder="1"/>
    <xf numFmtId="3" fontId="18" fillId="16" borderId="11" xfId="0" applyNumberFormat="1" applyFont="1" applyFill="1" applyBorder="1" applyAlignment="1">
      <alignment horizontal="center" vertical="center"/>
    </xf>
    <xf numFmtId="0" fontId="45" fillId="0" borderId="12" xfId="0" applyFont="1" applyBorder="1"/>
    <xf numFmtId="0" fontId="18" fillId="17" borderId="13" xfId="0" applyFont="1" applyFill="1" applyBorder="1"/>
    <xf numFmtId="3" fontId="18" fillId="17" borderId="14" xfId="0" applyNumberFormat="1" applyFont="1" applyFill="1" applyBorder="1" applyAlignment="1">
      <alignment horizontal="center" vertical="center"/>
    </xf>
    <xf numFmtId="169" fontId="1" fillId="0" borderId="7" xfId="0" applyNumberFormat="1" applyFont="1" applyBorder="1"/>
    <xf numFmtId="169" fontId="1" fillId="0" borderId="7" xfId="0" applyNumberFormat="1" applyFont="1" applyBorder="1" applyAlignment="1">
      <alignment horizontal="right"/>
    </xf>
    <xf numFmtId="0" fontId="46" fillId="17" borderId="0" xfId="0" applyFont="1" applyFill="1"/>
    <xf numFmtId="0" fontId="1" fillId="18" borderId="0" xfId="0" applyFont="1" applyFill="1" applyAlignment="1">
      <alignment horizontal="center"/>
    </xf>
    <xf numFmtId="0" fontId="0" fillId="19" borderId="0" xfId="0" applyFill="1"/>
    <xf numFmtId="0" fontId="0" fillId="15" borderId="0" xfId="0" applyFill="1"/>
    <xf numFmtId="0" fontId="1" fillId="15" borderId="0" xfId="0" applyFont="1" applyFill="1"/>
    <xf numFmtId="0" fontId="0" fillId="0" borderId="0" xfId="0" applyAlignment="1">
      <alignment vertical="center"/>
    </xf>
    <xf numFmtId="0" fontId="2" fillId="0" borderId="0" xfId="0" applyFont="1" applyAlignment="1">
      <alignment vertical="center" wrapText="1"/>
    </xf>
    <xf numFmtId="0" fontId="19" fillId="20" borderId="0" xfId="0" applyFont="1" applyFill="1"/>
    <xf numFmtId="0" fontId="20" fillId="0" borderId="0" xfId="0" applyFont="1" applyAlignment="1">
      <alignment vertical="center"/>
    </xf>
    <xf numFmtId="0" fontId="20" fillId="0" borderId="0" xfId="0" applyFont="1" applyAlignment="1">
      <alignment vertical="center" wrapText="1"/>
    </xf>
    <xf numFmtId="0" fontId="1" fillId="19" borderId="0" xfId="0" applyFont="1" applyFill="1"/>
    <xf numFmtId="0" fontId="21" fillId="0" borderId="0" xfId="0" applyFont="1"/>
    <xf numFmtId="0" fontId="36" fillId="10" borderId="32" xfId="0" applyFont="1" applyFill="1" applyBorder="1" applyAlignment="1">
      <alignment horizontal="center"/>
    </xf>
    <xf numFmtId="167" fontId="1" fillId="0" borderId="1" xfId="10" applyNumberFormat="1" applyFont="1" applyBorder="1"/>
    <xf numFmtId="167" fontId="1" fillId="0" borderId="0" xfId="10" applyNumberFormat="1" applyFont="1" applyBorder="1"/>
    <xf numFmtId="0" fontId="1" fillId="7" borderId="33" xfId="0" applyFont="1" applyFill="1" applyBorder="1"/>
    <xf numFmtId="169" fontId="1" fillId="0" borderId="0" xfId="0" applyNumberFormat="1" applyFont="1"/>
    <xf numFmtId="0" fontId="8" fillId="11" borderId="34" xfId="0" applyFont="1" applyFill="1" applyBorder="1" applyAlignment="1">
      <alignment horizontal="left" indent="1"/>
    </xf>
    <xf numFmtId="0" fontId="36" fillId="10" borderId="34" xfId="0" applyFont="1" applyFill="1" applyBorder="1"/>
    <xf numFmtId="0" fontId="36" fillId="10" borderId="34" xfId="0" applyFont="1" applyFill="1" applyBorder="1" applyAlignment="1">
      <alignment horizontal="center"/>
    </xf>
    <xf numFmtId="167" fontId="2" fillId="0" borderId="0" xfId="10" applyNumberFormat="1" applyFont="1" applyBorder="1"/>
    <xf numFmtId="169" fontId="1" fillId="0" borderId="0" xfId="10" applyNumberFormat="1" applyFont="1" applyBorder="1"/>
    <xf numFmtId="0" fontId="29" fillId="20" borderId="0" xfId="0" applyFont="1" applyFill="1"/>
    <xf numFmtId="0" fontId="0" fillId="8" borderId="35" xfId="0" applyFill="1" applyBorder="1" applyAlignment="1">
      <alignment horizontal="center"/>
    </xf>
    <xf numFmtId="3" fontId="29" fillId="0" borderId="0" xfId="0" applyNumberFormat="1" applyFont="1"/>
    <xf numFmtId="0" fontId="0" fillId="8" borderId="0" xfId="0" applyFill="1" applyBorder="1" applyAlignment="1">
      <alignment horizontal="center"/>
    </xf>
    <xf numFmtId="0" fontId="8" fillId="11" borderId="34" xfId="0" applyFont="1" applyFill="1" applyBorder="1" applyAlignment="1">
      <alignment horizontal="left" vertical="center"/>
    </xf>
    <xf numFmtId="0" fontId="1" fillId="7" borderId="33" xfId="0" applyFont="1" applyFill="1" applyBorder="1" applyAlignment="1">
      <alignment vertical="center"/>
    </xf>
    <xf numFmtId="0" fontId="36" fillId="10" borderId="32" xfId="0" applyFont="1" applyFill="1" applyBorder="1" applyAlignment="1">
      <alignment horizontal="center" vertical="center"/>
    </xf>
    <xf numFmtId="0" fontId="35" fillId="12" borderId="0" xfId="0" applyFont="1" applyFill="1" applyAlignment="1">
      <alignment vertical="center"/>
    </xf>
    <xf numFmtId="0" fontId="0" fillId="8" borderId="0" xfId="0" applyFill="1" applyAlignment="1">
      <alignment vertical="center"/>
    </xf>
    <xf numFmtId="0" fontId="0" fillId="8" borderId="1" xfId="0" applyFill="1" applyBorder="1"/>
    <xf numFmtId="183" fontId="31" fillId="8" borderId="0" xfId="0" applyNumberFormat="1" applyFont="1" applyFill="1" applyAlignment="1">
      <alignment horizontal="right" vertical="center"/>
    </xf>
    <xf numFmtId="169" fontId="2" fillId="8" borderId="0" xfId="0" applyNumberFormat="1" applyFont="1" applyFill="1" applyAlignment="1">
      <alignment horizontal="right" vertical="center"/>
    </xf>
    <xf numFmtId="184" fontId="22" fillId="8" borderId="0" xfId="0" applyNumberFormat="1" applyFont="1" applyFill="1"/>
    <xf numFmtId="10" fontId="31" fillId="8" borderId="0" xfId="0" applyNumberFormat="1" applyFont="1" applyFill="1" applyAlignment="1">
      <alignment horizontal="right" vertical="center"/>
    </xf>
    <xf numFmtId="10" fontId="0" fillId="8" borderId="0" xfId="0" applyNumberFormat="1" applyFill="1"/>
    <xf numFmtId="0" fontId="0" fillId="0" borderId="0" xfId="0" applyFill="1" applyAlignment="1">
      <alignment vertical="center"/>
    </xf>
    <xf numFmtId="0" fontId="0" fillId="0" borderId="0" xfId="0" applyFill="1"/>
    <xf numFmtId="169" fontId="2" fillId="0" borderId="0" xfId="0" applyNumberFormat="1" applyFont="1" applyFill="1" applyAlignment="1">
      <alignment horizontal="right" vertical="center"/>
    </xf>
    <xf numFmtId="184" fontId="22" fillId="0" borderId="0" xfId="0" applyNumberFormat="1" applyFont="1" applyFill="1"/>
    <xf numFmtId="185" fontId="1" fillId="8" borderId="0" xfId="0" applyNumberFormat="1" applyFont="1" applyFill="1" applyAlignment="1">
      <alignment vertical="center"/>
    </xf>
    <xf numFmtId="10" fontId="1" fillId="8" borderId="0" xfId="0" applyNumberFormat="1" applyFont="1" applyFill="1" applyAlignment="1">
      <alignment vertical="center"/>
    </xf>
    <xf numFmtId="184" fontId="1" fillId="8" borderId="0" xfId="0" applyNumberFormat="1" applyFont="1" applyFill="1" applyAlignment="1">
      <alignment vertical="center"/>
    </xf>
    <xf numFmtId="166" fontId="2" fillId="8" borderId="0" xfId="1" applyFill="1"/>
    <xf numFmtId="167" fontId="1" fillId="8" borderId="1" xfId="10" applyNumberFormat="1" applyFont="1" applyFill="1" applyBorder="1"/>
    <xf numFmtId="167" fontId="1" fillId="8" borderId="0" xfId="10" applyNumberFormat="1" applyFont="1" applyFill="1" applyBorder="1"/>
    <xf numFmtId="169" fontId="1" fillId="8" borderId="0" xfId="0" applyNumberFormat="1" applyFont="1" applyFill="1"/>
    <xf numFmtId="169" fontId="2" fillId="8" borderId="0" xfId="0" applyNumberFormat="1" applyFont="1" applyFill="1"/>
    <xf numFmtId="164" fontId="2" fillId="8" borderId="0" xfId="0" applyNumberFormat="1" applyFont="1" applyFill="1" applyAlignment="1">
      <alignment vertical="center"/>
    </xf>
    <xf numFmtId="169" fontId="1" fillId="8" borderId="0" xfId="0" applyNumberFormat="1" applyFont="1" applyFill="1" applyAlignment="1">
      <alignment vertical="center"/>
    </xf>
    <xf numFmtId="169" fontId="2" fillId="8" borderId="0" xfId="0" applyNumberFormat="1" applyFont="1" applyFill="1" applyAlignment="1">
      <alignment vertical="center"/>
    </xf>
    <xf numFmtId="0" fontId="1" fillId="8" borderId="36" xfId="0" applyFont="1" applyFill="1" applyBorder="1"/>
    <xf numFmtId="0" fontId="1" fillId="8" borderId="37" xfId="0" applyFont="1" applyFill="1" applyBorder="1"/>
    <xf numFmtId="167" fontId="2" fillId="8" borderId="0" xfId="10" applyNumberFormat="1" applyFont="1" applyFill="1" applyBorder="1"/>
    <xf numFmtId="169" fontId="1" fillId="8" borderId="0" xfId="10" applyNumberFormat="1" applyFont="1" applyFill="1" applyBorder="1"/>
    <xf numFmtId="0" fontId="1" fillId="8" borderId="0" xfId="0" applyFont="1" applyFill="1"/>
    <xf numFmtId="169" fontId="8" fillId="8" borderId="0" xfId="0" applyNumberFormat="1" applyFont="1" applyFill="1"/>
    <xf numFmtId="9" fontId="8" fillId="8" borderId="0" xfId="13" applyFont="1" applyFill="1" applyBorder="1"/>
    <xf numFmtId="0" fontId="1" fillId="11" borderId="34" xfId="0" applyFont="1" applyFill="1" applyBorder="1" applyAlignment="1">
      <alignment horizontal="left" indent="1"/>
    </xf>
    <xf numFmtId="183" fontId="2" fillId="8" borderId="0" xfId="0" applyNumberFormat="1" applyFont="1" applyFill="1"/>
    <xf numFmtId="9" fontId="2" fillId="8" borderId="0" xfId="0" applyNumberFormat="1" applyFont="1" applyFill="1" applyAlignment="1">
      <alignment horizontal="right"/>
    </xf>
    <xf numFmtId="9" fontId="2" fillId="8" borderId="0" xfId="0" applyNumberFormat="1" applyFont="1" applyFill="1"/>
    <xf numFmtId="0" fontId="0" fillId="0" borderId="0" xfId="0" applyAlignment="1">
      <alignment horizontal="left" vertical="center" wrapText="1"/>
    </xf>
    <xf numFmtId="0" fontId="2" fillId="0" borderId="0" xfId="0" applyFont="1" applyAlignment="1">
      <alignment horizontal="center"/>
    </xf>
    <xf numFmtId="0" fontId="0" fillId="0" borderId="0" xfId="0" applyAlignment="1">
      <alignment horizontal="center"/>
    </xf>
    <xf numFmtId="0" fontId="8" fillId="0" borderId="0" xfId="0" applyFont="1" applyAlignment="1">
      <alignment horizontal="left" vertical="top"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cellXfs>
  <cellStyles count="20">
    <cellStyle name="CALC Amount" xfId="1" xr:uid="{00000000-0005-0000-0000-000000000000}"/>
    <cellStyle name="CALC Amount 2" xfId="2" xr:uid="{00000000-0005-0000-0000-000001000000}"/>
    <cellStyle name="CALC Currency" xfId="3" xr:uid="{00000000-0005-0000-0000-000002000000}"/>
    <cellStyle name="CALC Currency 2" xfId="4" xr:uid="{00000000-0005-0000-0000-000003000000}"/>
    <cellStyle name="Collegamento ipertestuale" xfId="5" builtinId="8"/>
    <cellStyle name="Collegamento ipertestuale 2" xfId="6" xr:uid="{00000000-0005-0000-0000-000005000000}"/>
    <cellStyle name="Excel_BuiltIn_Titolo 1" xfId="7" xr:uid="{00000000-0005-0000-0000-000006000000}"/>
    <cellStyle name="LABEL Note" xfId="8" xr:uid="{00000000-0005-0000-0000-000007000000}"/>
    <cellStyle name="LABEL Note 2" xfId="9" xr:uid="{00000000-0005-0000-0000-000008000000}"/>
    <cellStyle name="Migliaia" xfId="10" builtinId="3"/>
    <cellStyle name="Migliaia 2" xfId="11" xr:uid="{00000000-0005-0000-0000-00000A000000}"/>
    <cellStyle name="Normale" xfId="0" builtinId="0"/>
    <cellStyle name="Normale 2" xfId="12" xr:uid="{00000000-0005-0000-0000-00000C000000}"/>
    <cellStyle name="Percentuale" xfId="13" builtinId="5"/>
    <cellStyle name="Percentuale 2" xfId="14" xr:uid="{00000000-0005-0000-0000-00000E000000}"/>
    <cellStyle name="TIME Detail" xfId="15" xr:uid="{00000000-0005-0000-0000-00000F000000}"/>
    <cellStyle name="TIME Period Start" xfId="16" xr:uid="{00000000-0005-0000-0000-000010000000}"/>
    <cellStyle name="TIME Period Start 2" xfId="17" xr:uid="{00000000-0005-0000-0000-000011000000}"/>
    <cellStyle name="Titolo 1" xfId="18" builtinId="16"/>
    <cellStyle name="Titolo 3" xfId="19" builtin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fiannamorelli/Documents/Deloitte/Projects/FY2015/Colleparco/NEW/Colleparco%20Financial%20Model.027.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list"/>
      <sheetName val="hp"/>
      <sheetName val="quadratura perizia"/>
      <sheetName val="Superfici_marzo 2014"/>
      <sheetName val="oCE_PRUACS"/>
      <sheetName val="oCE"/>
      <sheetName val="oSP"/>
      <sheetName val="oCF"/>
      <sheetName val="oCE_Fondazione"/>
      <sheetName val="oCE_Atena"/>
      <sheetName val="mutuo linea senior"/>
      <sheetName val="Opening SP_NEWCO"/>
      <sheetName val="Opening SP"/>
      <sheetName val="BS 31122013"/>
      <sheetName val="calcCE"/>
      <sheetName val="calcSP"/>
      <sheetName val="Foglio1"/>
      <sheetName val="Foglio1_rev"/>
      <sheetName val="SUP NUOVE LORDE"/>
      <sheetName val="aggiornamento superfici"/>
      <sheetName val="superificie e costruzione"/>
      <sheetName val="dati architetto"/>
      <sheetName val="stima canone"/>
      <sheetName val="mutuo linea IVA"/>
      <sheetName val="Template"/>
      <sheetName val="Disclaimer"/>
      <sheetName val="Data Info"/>
      <sheetName val="sysTimeline"/>
      <sheetName val="sysConfi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row r="14">
          <cell r="C14" t="str">
            <v>Dummy data set</v>
          </cell>
        </row>
        <row r="16">
          <cell r="C16">
            <v>1</v>
          </cell>
        </row>
        <row r="17">
          <cell r="C17">
            <v>1</v>
          </cell>
        </row>
        <row r="25">
          <cell r="F25">
            <v>41640</v>
          </cell>
        </row>
      </sheetData>
      <sheetData sheetId="27"/>
      <sheetData sheetId="28" refreshError="1">
        <row r="1">
          <cell r="B1" t="str">
            <v>Colleparco Modelling Template</v>
          </cell>
        </row>
        <row r="6">
          <cell r="B6" t="str">
            <v>Version: 27.001.006 | dd apr yy 12:58</v>
          </cell>
        </row>
        <row r="7">
          <cell r="B7" t="str">
            <v>Data Set: Dummy data set 1.001</v>
          </cell>
        </row>
        <row r="16">
          <cell r="C16" t="str">
            <v>Colleparco</v>
          </cell>
        </row>
        <row r="17">
          <cell r="C17" t="str">
            <v>Modelling Template</v>
          </cell>
        </row>
        <row r="18">
          <cell r="C18" t="str">
            <v>Colleparco Financial Model</v>
          </cell>
        </row>
        <row r="24">
          <cell r="C24">
            <v>27</v>
          </cell>
        </row>
        <row r="25">
          <cell r="C25">
            <v>1</v>
          </cell>
        </row>
        <row r="26">
          <cell r="C26">
            <v>6</v>
          </cell>
        </row>
        <row r="28">
          <cell r="C28">
            <v>42103.540381944447</v>
          </cell>
        </row>
        <row r="30">
          <cell r="C30" t="str">
            <v>Version</v>
          </cell>
        </row>
        <row r="31">
          <cell r="C31" t="str">
            <v>Data Set</v>
          </cell>
        </row>
        <row r="32">
          <cell r="C32" t="str">
            <v>000</v>
          </cell>
        </row>
        <row r="33">
          <cell r="C33" t="str">
            <v>dd mmm yy hh:mm</v>
          </cell>
        </row>
        <row r="151">
          <cell r="C151" t="str">
            <v>Yes</v>
          </cell>
        </row>
        <row r="152">
          <cell r="C152" t="str">
            <v>No</v>
          </cell>
        </row>
        <row r="154">
          <cell r="C154" t="str">
            <v>On</v>
          </cell>
        </row>
        <row r="155">
          <cell r="C155" t="str">
            <v>Off</v>
          </cell>
        </row>
        <row r="157">
          <cell r="C157" t="str">
            <v>Prefix</v>
          </cell>
        </row>
        <row r="158">
          <cell r="C158" t="str">
            <v>Suffix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s://www.grandviewresearch.com/industry-analysis/cellulose-ester-market" TargetMode="External"/><Relationship Id="rId7" Type="http://schemas.openxmlformats.org/officeDocument/2006/relationships/printerSettings" Target="../printerSettings/printerSettings8.bin"/><Relationship Id="rId2" Type="http://schemas.openxmlformats.org/officeDocument/2006/relationships/hyperlink" Target="https://webthesis.biblio.polito.it/7667/1/tesi.pdf" TargetMode="External"/><Relationship Id="rId1" Type="http://schemas.openxmlformats.org/officeDocument/2006/relationships/hyperlink" Target="https://www.marketsandmarkets.com/Market-Reports/nano-cellulose-market-56392090.html?gclid=Cj0KCQiAk7TuBRDQARIsAMRrfUYsPodn6akVKRf6Nzkc0Mq38O6eDgyHKIyh9hQMeYwLERFRoMdbq1QaAvu7EALw_wcB" TargetMode="External"/><Relationship Id="rId6" Type="http://schemas.openxmlformats.org/officeDocument/2006/relationships/hyperlink" Target="https://courant.biz/report/gamma-valerolactone-cas-108-29-2-market/6078/" TargetMode="External"/><Relationship Id="rId5" Type="http://schemas.openxmlformats.org/officeDocument/2006/relationships/hyperlink" Target="https://www.globalinforesearch.com/info/global-levulinic-acid-market-2018-forecast-to-2023_i0166.html" TargetMode="External"/><Relationship Id="rId4" Type="http://schemas.openxmlformats.org/officeDocument/2006/relationships/hyperlink" Target="https://www.marketsandmarkets.com/Market-Reports/furfural-market-101056456.html?gclid=Cj0KCQiAk7TuBRDQARIsAMRrfUZXCEYkRxLzoP2xPvXbm2dTJjKZlW6KHrgD8TR1s7yUu5XwYa5Zcj4aAnwUEALw_wcB" TargetMode="External"/><Relationship Id="rId9"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59999389629810485"/>
  </sheetPr>
  <dimension ref="B2:P97"/>
  <sheetViews>
    <sheetView topLeftCell="A86" workbookViewId="0">
      <selection activeCell="B16" sqref="B16:P16"/>
    </sheetView>
  </sheetViews>
  <sheetFormatPr defaultRowHeight="11.4" x14ac:dyDescent="0.2"/>
  <cols>
    <col min="2" max="2" width="59.625" customWidth="1"/>
    <col min="3" max="3" width="70.125" customWidth="1"/>
  </cols>
  <sheetData>
    <row r="2" spans="2:16" ht="12" x14ac:dyDescent="0.25">
      <c r="B2" s="229" t="s">
        <v>210</v>
      </c>
    </row>
    <row r="4" spans="2:16" x14ac:dyDescent="0.2">
      <c r="B4" s="228"/>
      <c r="C4" s="5" t="s">
        <v>209</v>
      </c>
    </row>
    <row r="6" spans="2:16" x14ac:dyDescent="0.2">
      <c r="B6" s="230"/>
      <c r="C6" s="5" t="s">
        <v>211</v>
      </c>
    </row>
    <row r="8" spans="2:16" x14ac:dyDescent="0.2">
      <c r="B8" s="231"/>
      <c r="C8" t="s">
        <v>212</v>
      </c>
    </row>
    <row r="11" spans="2:16" ht="12" x14ac:dyDescent="0.25">
      <c r="B11" s="239" t="s">
        <v>256</v>
      </c>
    </row>
    <row r="14" spans="2:16" ht="12" x14ac:dyDescent="0.25">
      <c r="B14" s="229" t="s">
        <v>258</v>
      </c>
    </row>
    <row r="16" spans="2:16" ht="144" customHeight="1" x14ac:dyDescent="0.2">
      <c r="B16" s="291" t="s">
        <v>260</v>
      </c>
      <c r="C16" s="291"/>
      <c r="D16" s="291"/>
      <c r="E16" s="291"/>
      <c r="F16" s="291"/>
      <c r="G16" s="291"/>
      <c r="H16" s="291"/>
      <c r="I16" s="291"/>
      <c r="J16" s="291"/>
      <c r="K16" s="291"/>
      <c r="L16" s="291"/>
      <c r="M16" s="291"/>
      <c r="N16" s="291"/>
      <c r="O16" s="291"/>
      <c r="P16" s="291"/>
    </row>
    <row r="22" spans="2:3" ht="12" x14ac:dyDescent="0.25">
      <c r="B22" s="229" t="s">
        <v>213</v>
      </c>
    </row>
    <row r="24" spans="2:3" ht="12" x14ac:dyDescent="0.25">
      <c r="B24" s="232" t="s">
        <v>106</v>
      </c>
    </row>
    <row r="26" spans="2:3" x14ac:dyDescent="0.2">
      <c r="B26" s="235" t="s">
        <v>214</v>
      </c>
    </row>
    <row r="27" spans="2:3" ht="61.5" customHeight="1" x14ac:dyDescent="0.2">
      <c r="B27" s="236" t="s">
        <v>47</v>
      </c>
      <c r="C27" s="234" t="s">
        <v>219</v>
      </c>
    </row>
    <row r="28" spans="2:3" ht="86.25" customHeight="1" x14ac:dyDescent="0.2">
      <c r="B28" s="236" t="s">
        <v>46</v>
      </c>
      <c r="C28" s="234" t="s">
        <v>215</v>
      </c>
    </row>
    <row r="29" spans="2:3" ht="58.5" customHeight="1" x14ac:dyDescent="0.2">
      <c r="B29" s="233" t="s">
        <v>48</v>
      </c>
      <c r="C29" s="234" t="s">
        <v>257</v>
      </c>
    </row>
    <row r="31" spans="2:3" x14ac:dyDescent="0.2">
      <c r="B31" s="235" t="s">
        <v>44</v>
      </c>
    </row>
    <row r="32" spans="2:3" ht="83.25" customHeight="1" x14ac:dyDescent="0.2">
      <c r="B32" s="236" t="s">
        <v>47</v>
      </c>
      <c r="C32" s="234" t="s">
        <v>216</v>
      </c>
    </row>
    <row r="33" spans="2:3" ht="51" customHeight="1" x14ac:dyDescent="0.2">
      <c r="B33" s="237" t="s">
        <v>218</v>
      </c>
      <c r="C33" s="234" t="s">
        <v>217</v>
      </c>
    </row>
    <row r="35" spans="2:3" x14ac:dyDescent="0.2">
      <c r="B35" s="235" t="s">
        <v>45</v>
      </c>
    </row>
    <row r="36" spans="2:3" ht="83.25" customHeight="1" x14ac:dyDescent="0.2">
      <c r="B36" s="236" t="s">
        <v>47</v>
      </c>
      <c r="C36" s="234" t="s">
        <v>219</v>
      </c>
    </row>
    <row r="37" spans="2:3" ht="66.75" customHeight="1" x14ac:dyDescent="0.2">
      <c r="B37" s="237" t="s">
        <v>218</v>
      </c>
      <c r="C37" s="234" t="s">
        <v>220</v>
      </c>
    </row>
    <row r="40" spans="2:3" ht="12" x14ac:dyDescent="0.25">
      <c r="B40" s="232" t="s">
        <v>57</v>
      </c>
    </row>
    <row r="42" spans="2:3" ht="48" customHeight="1" x14ac:dyDescent="0.2">
      <c r="B42" s="236" t="s">
        <v>54</v>
      </c>
      <c r="C42" s="234" t="s">
        <v>221</v>
      </c>
    </row>
    <row r="43" spans="2:3" ht="91.5" customHeight="1" x14ac:dyDescent="0.2">
      <c r="B43" s="236" t="s">
        <v>59</v>
      </c>
      <c r="C43" s="234" t="s">
        <v>222</v>
      </c>
    </row>
    <row r="44" spans="2:3" ht="96.75" customHeight="1" x14ac:dyDescent="0.2">
      <c r="B44" s="236" t="s">
        <v>56</v>
      </c>
      <c r="C44" s="234" t="s">
        <v>223</v>
      </c>
    </row>
    <row r="46" spans="2:3" ht="12" x14ac:dyDescent="0.25">
      <c r="B46" s="232" t="s">
        <v>201</v>
      </c>
    </row>
    <row r="48" spans="2:3" ht="45.6" x14ac:dyDescent="0.2">
      <c r="B48" s="234" t="s">
        <v>224</v>
      </c>
    </row>
    <row r="50" spans="2:3" ht="12" x14ac:dyDescent="0.25">
      <c r="B50" s="232" t="s">
        <v>60</v>
      </c>
    </row>
    <row r="52" spans="2:3" ht="22.8" x14ac:dyDescent="0.2">
      <c r="B52" s="236" t="s">
        <v>62</v>
      </c>
      <c r="C52" s="234" t="s">
        <v>225</v>
      </c>
    </row>
    <row r="53" spans="2:3" ht="22.8" x14ac:dyDescent="0.2">
      <c r="B53" s="236" t="s">
        <v>63</v>
      </c>
      <c r="C53" s="234" t="s">
        <v>226</v>
      </c>
    </row>
    <row r="54" spans="2:3" ht="22.8" x14ac:dyDescent="0.2">
      <c r="B54" s="236" t="s">
        <v>78</v>
      </c>
      <c r="C54" s="234" t="s">
        <v>226</v>
      </c>
    </row>
    <row r="55" spans="2:3" ht="22.8" x14ac:dyDescent="0.2">
      <c r="B55" s="236" t="s">
        <v>64</v>
      </c>
      <c r="C55" s="234" t="s">
        <v>226</v>
      </c>
    </row>
    <row r="56" spans="2:3" ht="22.8" x14ac:dyDescent="0.2">
      <c r="B56" s="236" t="s">
        <v>65</v>
      </c>
      <c r="C56" s="234" t="s">
        <v>226</v>
      </c>
    </row>
    <row r="57" spans="2:3" ht="22.8" x14ac:dyDescent="0.2">
      <c r="B57" s="236" t="s">
        <v>66</v>
      </c>
      <c r="C57" s="234" t="s">
        <v>226</v>
      </c>
    </row>
    <row r="58" spans="2:3" ht="22.8" x14ac:dyDescent="0.2">
      <c r="B58" s="236" t="s">
        <v>67</v>
      </c>
      <c r="C58" s="234" t="s">
        <v>226</v>
      </c>
    </row>
    <row r="59" spans="2:3" ht="22.8" x14ac:dyDescent="0.2">
      <c r="B59" s="236" t="s">
        <v>74</v>
      </c>
      <c r="C59" s="234" t="s">
        <v>226</v>
      </c>
    </row>
    <row r="60" spans="2:3" ht="22.8" x14ac:dyDescent="0.2">
      <c r="B60" s="236" t="s">
        <v>75</v>
      </c>
      <c r="C60" s="234" t="s">
        <v>226</v>
      </c>
    </row>
    <row r="61" spans="2:3" ht="34.200000000000003" x14ac:dyDescent="0.2">
      <c r="B61" s="236" t="s">
        <v>76</v>
      </c>
      <c r="C61" s="234" t="s">
        <v>227</v>
      </c>
    </row>
    <row r="63" spans="2:3" ht="12" x14ac:dyDescent="0.25">
      <c r="B63" s="232" t="s">
        <v>108</v>
      </c>
    </row>
    <row r="65" spans="2:3" ht="34.200000000000003" x14ac:dyDescent="0.2">
      <c r="B65" s="236" t="s">
        <v>93</v>
      </c>
      <c r="C65" s="234" t="s">
        <v>228</v>
      </c>
    </row>
    <row r="66" spans="2:3" ht="34.200000000000003" x14ac:dyDescent="0.2">
      <c r="B66" s="236" t="s">
        <v>72</v>
      </c>
      <c r="C66" s="234" t="s">
        <v>229</v>
      </c>
    </row>
    <row r="67" spans="2:3" ht="34.200000000000003" x14ac:dyDescent="0.2">
      <c r="B67" s="236" t="s">
        <v>71</v>
      </c>
      <c r="C67" s="234" t="s">
        <v>230</v>
      </c>
    </row>
    <row r="68" spans="2:3" ht="34.200000000000003" x14ac:dyDescent="0.2">
      <c r="B68" s="236" t="s">
        <v>69</v>
      </c>
      <c r="C68" s="234" t="s">
        <v>231</v>
      </c>
    </row>
    <row r="69" spans="2:3" ht="34.200000000000003" x14ac:dyDescent="0.2">
      <c r="B69" s="236" t="s">
        <v>70</v>
      </c>
      <c r="C69" s="234" t="s">
        <v>232</v>
      </c>
    </row>
    <row r="70" spans="2:3" ht="34.200000000000003" x14ac:dyDescent="0.2">
      <c r="B70" s="236" t="s">
        <v>80</v>
      </c>
      <c r="C70" s="234" t="s">
        <v>233</v>
      </c>
    </row>
    <row r="71" spans="2:3" ht="34.200000000000003" x14ac:dyDescent="0.2">
      <c r="B71" s="236" t="s">
        <v>208</v>
      </c>
      <c r="C71" s="234" t="s">
        <v>234</v>
      </c>
    </row>
    <row r="73" spans="2:3" ht="12" x14ac:dyDescent="0.25">
      <c r="B73" s="232" t="s">
        <v>81</v>
      </c>
    </row>
    <row r="75" spans="2:3" ht="22.8" x14ac:dyDescent="0.2">
      <c r="B75" s="236" t="s">
        <v>82</v>
      </c>
      <c r="C75" s="234" t="s">
        <v>235</v>
      </c>
    </row>
    <row r="76" spans="2:3" ht="22.8" x14ac:dyDescent="0.2">
      <c r="B76" s="236" t="s">
        <v>83</v>
      </c>
      <c r="C76" s="234" t="s">
        <v>236</v>
      </c>
    </row>
    <row r="77" spans="2:3" ht="22.8" x14ac:dyDescent="0.2">
      <c r="B77" s="236" t="s">
        <v>84</v>
      </c>
      <c r="C77" s="234" t="s">
        <v>239</v>
      </c>
    </row>
    <row r="78" spans="2:3" ht="22.8" x14ac:dyDescent="0.2">
      <c r="B78" s="236" t="s">
        <v>85</v>
      </c>
      <c r="C78" s="234" t="s">
        <v>238</v>
      </c>
    </row>
    <row r="79" spans="2:3" x14ac:dyDescent="0.2">
      <c r="B79" s="236" t="s">
        <v>86</v>
      </c>
      <c r="C79" s="234" t="s">
        <v>237</v>
      </c>
    </row>
    <row r="82" spans="2:5" ht="12" x14ac:dyDescent="0.25">
      <c r="B82" s="238" t="s">
        <v>107</v>
      </c>
    </row>
    <row r="84" spans="2:5" ht="22.8" x14ac:dyDescent="0.2">
      <c r="B84" s="236" t="s">
        <v>240</v>
      </c>
      <c r="C84" s="234" t="s">
        <v>246</v>
      </c>
    </row>
    <row r="85" spans="2:5" ht="22.8" x14ac:dyDescent="0.2">
      <c r="B85" s="236" t="s">
        <v>241</v>
      </c>
      <c r="C85" s="234" t="s">
        <v>242</v>
      </c>
    </row>
    <row r="86" spans="2:5" x14ac:dyDescent="0.2">
      <c r="B86" s="236" t="s">
        <v>243</v>
      </c>
      <c r="C86" s="234" t="s">
        <v>244</v>
      </c>
    </row>
    <row r="87" spans="2:5" x14ac:dyDescent="0.2">
      <c r="B87" s="236" t="s">
        <v>245</v>
      </c>
      <c r="C87" s="234" t="s">
        <v>244</v>
      </c>
    </row>
    <row r="88" spans="2:5" ht="56.25" customHeight="1" x14ac:dyDescent="0.2">
      <c r="B88" s="236" t="s">
        <v>132</v>
      </c>
      <c r="C88" s="234" t="s">
        <v>247</v>
      </c>
    </row>
    <row r="89" spans="2:5" ht="48" customHeight="1" x14ac:dyDescent="0.2">
      <c r="B89" s="236" t="s">
        <v>135</v>
      </c>
      <c r="C89" s="234" t="s">
        <v>248</v>
      </c>
    </row>
    <row r="92" spans="2:5" ht="12" x14ac:dyDescent="0.25">
      <c r="B92" s="238" t="s">
        <v>170</v>
      </c>
    </row>
    <row r="94" spans="2:5" ht="22.8" x14ac:dyDescent="0.2">
      <c r="B94" s="236" t="s">
        <v>180</v>
      </c>
      <c r="C94" s="234" t="s">
        <v>252</v>
      </c>
      <c r="E94" s="234"/>
    </row>
    <row r="95" spans="2:5" ht="22.8" x14ac:dyDescent="0.2">
      <c r="B95" s="236" t="s">
        <v>249</v>
      </c>
      <c r="C95" s="234" t="s">
        <v>253</v>
      </c>
      <c r="D95" s="234"/>
      <c r="E95" s="234"/>
    </row>
    <row r="96" spans="2:5" ht="22.8" x14ac:dyDescent="0.2">
      <c r="B96" s="236" t="s">
        <v>250</v>
      </c>
      <c r="C96" s="234" t="s">
        <v>254</v>
      </c>
    </row>
    <row r="97" spans="2:3" x14ac:dyDescent="0.2">
      <c r="B97" s="236" t="s">
        <v>251</v>
      </c>
      <c r="C97" s="234" t="s">
        <v>255</v>
      </c>
    </row>
  </sheetData>
  <mergeCells count="1">
    <mergeCell ref="B16:P16"/>
  </mergeCells>
  <phoneticPr fontId="11"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389629810485"/>
  </sheetPr>
  <dimension ref="A1:I16"/>
  <sheetViews>
    <sheetView showGridLines="0" workbookViewId="0">
      <pane xSplit="1" ySplit="2" topLeftCell="B3" activePane="bottomRight" state="frozen"/>
      <selection pane="topRight" activeCell="B1" sqref="B1"/>
      <selection pane="bottomLeft" activeCell="A5" sqref="A5"/>
      <selection pane="bottomRight" activeCell="I6" sqref="I6"/>
    </sheetView>
  </sheetViews>
  <sheetFormatPr defaultColWidth="8.875" defaultRowHeight="11.4" x14ac:dyDescent="0.2"/>
  <cols>
    <col min="1" max="1" width="59.25" style="91" customWidth="1"/>
    <col min="2" max="8" width="20.75" style="91" customWidth="1"/>
    <col min="9" max="9" width="20.875" style="91" customWidth="1"/>
    <col min="10" max="16384" width="8.875" style="91"/>
  </cols>
  <sheetData>
    <row r="1" spans="1:9" s="132" customFormat="1" ht="12.6" thickBot="1" x14ac:dyDescent="0.3">
      <c r="A1" s="131" t="s">
        <v>61</v>
      </c>
    </row>
    <row r="2" spans="1:9" ht="5.0999999999999996" customHeight="1" thickTop="1" x14ac:dyDescent="0.25">
      <c r="A2" s="129"/>
      <c r="B2" s="130"/>
      <c r="C2" s="130"/>
      <c r="D2" s="130"/>
      <c r="E2" s="130"/>
      <c r="F2" s="130"/>
      <c r="G2" s="130"/>
    </row>
    <row r="3" spans="1:9" ht="5.0999999999999996" customHeight="1" thickBot="1" x14ac:dyDescent="0.3">
      <c r="A3" s="129"/>
      <c r="B3" s="133"/>
      <c r="C3" s="133"/>
      <c r="D3" s="133"/>
      <c r="E3" s="133"/>
      <c r="F3" s="133"/>
    </row>
    <row r="4" spans="1:9" ht="15" customHeight="1" thickTop="1" thickBot="1" x14ac:dyDescent="0.3">
      <c r="A4" s="128" t="s">
        <v>60</v>
      </c>
      <c r="B4" s="139">
        <f>2021</f>
        <v>2021</v>
      </c>
      <c r="C4" s="139">
        <f>B4+1</f>
        <v>2022</v>
      </c>
      <c r="D4" s="139">
        <f>C4+1</f>
        <v>2023</v>
      </c>
      <c r="E4" s="139">
        <f>D4+1</f>
        <v>2024</v>
      </c>
      <c r="F4" s="139">
        <f>E4+1</f>
        <v>2025</v>
      </c>
      <c r="G4" s="139">
        <f>F4+1</f>
        <v>2026</v>
      </c>
      <c r="I4" s="139" t="s">
        <v>105</v>
      </c>
    </row>
    <row r="5" spans="1:9" ht="5.0999999999999996" customHeight="1" thickTop="1" x14ac:dyDescent="0.25">
      <c r="A5" s="129"/>
      <c r="B5" s="133"/>
      <c r="C5" s="133"/>
      <c r="D5" s="133"/>
      <c r="E5" s="133"/>
      <c r="F5" s="133"/>
      <c r="G5" s="133"/>
    </row>
    <row r="6" spans="1:9" ht="15" customHeight="1" thickBot="1" x14ac:dyDescent="0.25">
      <c r="A6" s="143" t="s">
        <v>62</v>
      </c>
      <c r="B6" s="146">
        <v>0</v>
      </c>
      <c r="C6" s="207">
        <f>I6*('4.Personnel'!D6+'4.Personnel'!D16+'4.Personnel'!D26+'4.Personnel'!D36+'4.Personnel'!D46+'4.Personnel'!D56+'4.Personnel'!D66)</f>
        <v>7000</v>
      </c>
      <c r="D6" s="147">
        <v>0</v>
      </c>
      <c r="E6" s="207">
        <f>D6</f>
        <v>0</v>
      </c>
      <c r="F6" s="207">
        <f>E6</f>
        <v>0</v>
      </c>
      <c r="G6" s="207">
        <f>F6</f>
        <v>0</v>
      </c>
      <c r="I6" s="146">
        <v>700</v>
      </c>
    </row>
    <row r="7" spans="1:9" ht="15" customHeight="1" thickTop="1" thickBot="1" x14ac:dyDescent="0.25">
      <c r="A7" s="145" t="s">
        <v>63</v>
      </c>
      <c r="B7" s="146">
        <v>0</v>
      </c>
      <c r="C7" s="146">
        <v>0</v>
      </c>
      <c r="D7" s="133">
        <f>$I$7*'1.Revenues and Costs of Sales'!E35</f>
        <v>165.52766144242199</v>
      </c>
      <c r="E7" s="133">
        <f>$I$7*'1.Revenues and Costs of Sales'!F35</f>
        <v>378.02850118999982</v>
      </c>
      <c r="F7" s="133">
        <f>$I$7*'1.Revenues and Costs of Sales'!G35</f>
        <v>571.28329752178695</v>
      </c>
      <c r="G7" s="133">
        <f>$I$7*'1.Revenues and Costs of Sales'!H35</f>
        <v>788.09648924947874</v>
      </c>
      <c r="I7" s="186">
        <v>1E-4</v>
      </c>
    </row>
    <row r="8" spans="1:9" ht="15" customHeight="1" thickTop="1" thickBot="1" x14ac:dyDescent="0.25">
      <c r="A8" s="145" t="s">
        <v>78</v>
      </c>
      <c r="B8" s="146">
        <v>0</v>
      </c>
      <c r="C8" s="207">
        <f>$I$8*'1.Revenues and Costs of Sales'!D35</f>
        <v>8791.0837721460102</v>
      </c>
      <c r="D8" s="207">
        <f>$I$8*'1.Revenues and Costs of Sales'!E35</f>
        <v>45851.16221955089</v>
      </c>
      <c r="E8" s="207">
        <f>$I$8*'1.Revenues and Costs of Sales'!F35</f>
        <v>104713.89482962993</v>
      </c>
      <c r="F8" s="207">
        <f>$I$8*'1.Revenues and Costs of Sales'!G35</f>
        <v>158245.47341353499</v>
      </c>
      <c r="G8" s="207">
        <f>$I$8*'1.Revenues and Costs of Sales'!H35</f>
        <v>218302.72752210559</v>
      </c>
      <c r="I8" s="186">
        <v>2.7699999999999999E-2</v>
      </c>
    </row>
    <row r="9" spans="1:9" ht="15" customHeight="1" thickTop="1" thickBot="1" x14ac:dyDescent="0.25">
      <c r="A9" s="145" t="s">
        <v>64</v>
      </c>
      <c r="B9" s="146">
        <v>0</v>
      </c>
      <c r="C9" s="146">
        <v>0</v>
      </c>
      <c r="D9" s="133">
        <f>$I$9*'1.Revenues and Costs of Sales'!E35</f>
        <v>165.52766144242199</v>
      </c>
      <c r="E9" s="133">
        <f>$I$9*'1.Revenues and Costs of Sales'!F35</f>
        <v>378.02850118999982</v>
      </c>
      <c r="F9" s="133">
        <f>$I$9*'1.Revenues and Costs of Sales'!G35</f>
        <v>571.28329752178695</v>
      </c>
      <c r="G9" s="133">
        <f>$I$9*'1.Revenues and Costs of Sales'!H35</f>
        <v>788.09648924947874</v>
      </c>
      <c r="I9" s="186">
        <v>1E-4</v>
      </c>
    </row>
    <row r="10" spans="1:9" ht="15" customHeight="1" thickTop="1" thickBot="1" x14ac:dyDescent="0.25">
      <c r="A10" s="145" t="s">
        <v>65</v>
      </c>
      <c r="B10" s="146">
        <v>3000</v>
      </c>
      <c r="C10" s="207">
        <f>$I$10*'1.Revenues and Costs of Sales'!D35</f>
        <v>317.36764520382707</v>
      </c>
      <c r="D10" s="207">
        <f>$I$10*'1.Revenues and Costs of Sales'!E35</f>
        <v>1655.2766144242198</v>
      </c>
      <c r="E10" s="207">
        <f>$I$10*'1.Revenues and Costs of Sales'!F35</f>
        <v>3780.2850118999982</v>
      </c>
      <c r="F10" s="207">
        <f>$I$10*'1.Revenues and Costs of Sales'!G35</f>
        <v>5712.8329752178697</v>
      </c>
      <c r="G10" s="207">
        <f>$I$10*'1.Revenues and Costs of Sales'!H35</f>
        <v>7880.9648924947869</v>
      </c>
      <c r="I10" s="186">
        <v>1E-3</v>
      </c>
    </row>
    <row r="11" spans="1:9" ht="15" customHeight="1" thickTop="1" thickBot="1" x14ac:dyDescent="0.25">
      <c r="A11" s="145" t="s">
        <v>66</v>
      </c>
      <c r="B11" s="146">
        <v>0</v>
      </c>
      <c r="C11" s="207">
        <f>$I$11*'1.Revenues and Costs of Sales'!D35</f>
        <v>317.36764520382707</v>
      </c>
      <c r="D11" s="207">
        <f>$I$11*'1.Revenues and Costs of Sales'!E35</f>
        <v>1655.2766144242198</v>
      </c>
      <c r="E11" s="207">
        <f>$I$11*'1.Revenues and Costs of Sales'!F35</f>
        <v>3780.2850118999982</v>
      </c>
      <c r="F11" s="207">
        <f>$I$11*'1.Revenues and Costs of Sales'!G35</f>
        <v>5712.8329752178697</v>
      </c>
      <c r="G11" s="207">
        <f>$I$11*'1.Revenues and Costs of Sales'!H35</f>
        <v>7880.9648924947869</v>
      </c>
      <c r="H11" s="127"/>
      <c r="I11" s="186">
        <v>1E-3</v>
      </c>
    </row>
    <row r="12" spans="1:9" ht="15" customHeight="1" thickTop="1" thickBot="1" x14ac:dyDescent="0.25">
      <c r="A12" s="145" t="s">
        <v>67</v>
      </c>
      <c r="B12" s="146">
        <v>0</v>
      </c>
      <c r="C12" s="207">
        <f>$I$12*'1.Revenues and Costs of Sales'!D35</f>
        <v>1586.8382260191354</v>
      </c>
      <c r="D12" s="207">
        <f>$I$12*'1.Revenues and Costs of Sales'!E35</f>
        <v>8276.3830721210998</v>
      </c>
      <c r="E12" s="207">
        <f>$I$12*'1.Revenues and Costs of Sales'!F35</f>
        <v>18901.42505949999</v>
      </c>
      <c r="F12" s="207">
        <f>$I$12*'1.Revenues and Costs of Sales'!G35</f>
        <v>28564.164876089348</v>
      </c>
      <c r="G12" s="207">
        <f>$I$12*'1.Revenues and Costs of Sales'!H35</f>
        <v>39404.824462473931</v>
      </c>
      <c r="I12" s="186">
        <v>5.0000000000000001E-3</v>
      </c>
    </row>
    <row r="13" spans="1:9" ht="15" customHeight="1" thickTop="1" thickBot="1" x14ac:dyDescent="0.25">
      <c r="A13" s="145" t="s">
        <v>74</v>
      </c>
      <c r="B13" s="146">
        <v>15000</v>
      </c>
      <c r="C13" s="207">
        <f>$I$13*'1.Revenues and Costs of Sales'!D35</f>
        <v>3173.6764520382708</v>
      </c>
      <c r="D13" s="207">
        <f>$I$13*'1.Revenues and Costs of Sales'!E35</f>
        <v>16552.7661442422</v>
      </c>
      <c r="E13" s="207">
        <f>$I$13*'1.Revenues and Costs of Sales'!F35</f>
        <v>37802.850118999981</v>
      </c>
      <c r="F13" s="207">
        <f>$I$13*'1.Revenues and Costs of Sales'!G35</f>
        <v>57128.329752178695</v>
      </c>
      <c r="G13" s="207">
        <f>$I$13*'1.Revenues and Costs of Sales'!H35</f>
        <v>78809.648924947862</v>
      </c>
      <c r="I13" s="186">
        <v>0.01</v>
      </c>
    </row>
    <row r="14" spans="1:9" ht="15" customHeight="1" thickTop="1" thickBot="1" x14ac:dyDescent="0.25">
      <c r="A14" s="145" t="s">
        <v>75</v>
      </c>
      <c r="B14" s="146">
        <v>0</v>
      </c>
      <c r="C14" s="207">
        <f>$I$14*'1.Revenues and Costs of Sales'!D35</f>
        <v>7299.455839688022</v>
      </c>
      <c r="D14" s="207">
        <f>$I$14*'1.Revenues and Costs of Sales'!E35</f>
        <v>38071.362131757058</v>
      </c>
      <c r="E14" s="207">
        <f>$I$14*'1.Revenues and Costs of Sales'!F35</f>
        <v>86946.555273699953</v>
      </c>
      <c r="F14" s="207">
        <f>$I$14*'1.Revenues and Costs of Sales'!G35</f>
        <v>131395.15843001098</v>
      </c>
      <c r="G14" s="207">
        <f>$I$14*'1.Revenues and Costs of Sales'!H35</f>
        <v>181262.19252738007</v>
      </c>
      <c r="I14" s="186">
        <v>2.3E-2</v>
      </c>
    </row>
    <row r="15" spans="1:9" ht="15" customHeight="1" thickTop="1" thickBot="1" x14ac:dyDescent="0.25">
      <c r="A15" s="144" t="s">
        <v>76</v>
      </c>
      <c r="B15" s="146">
        <v>5000</v>
      </c>
      <c r="C15" s="207">
        <f>$I$15*'1.Revenues and Costs of Sales'!D35</f>
        <v>6347.3529040765416</v>
      </c>
      <c r="D15" s="207">
        <f>$I$15*'1.Revenues and Costs of Sales'!E35</f>
        <v>33105.532288484399</v>
      </c>
      <c r="E15" s="207">
        <f>$I$15*'1.Revenues and Costs of Sales'!F35</f>
        <v>75605.700237999961</v>
      </c>
      <c r="F15" s="133">
        <v>0</v>
      </c>
      <c r="G15" s="133">
        <v>0</v>
      </c>
      <c r="I15" s="186">
        <v>0.02</v>
      </c>
    </row>
    <row r="16" spans="1:9" ht="15" customHeight="1" thickTop="1" x14ac:dyDescent="0.2"/>
  </sheetData>
  <phoneticPr fontId="11" type="noConversion"/>
  <pageMargins left="0.7" right="0.7" top="0.75" bottom="0.75" header="0.3" footer="0.3"/>
  <pageSetup paperSize="9" orientation="portrait" verticalDpi="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59999389629810485"/>
  </sheetPr>
  <dimension ref="A2:K81"/>
  <sheetViews>
    <sheetView showGridLines="0" topLeftCell="A20" workbookViewId="0">
      <selection activeCell="D68" sqref="D68"/>
    </sheetView>
  </sheetViews>
  <sheetFormatPr defaultColWidth="9.125" defaultRowHeight="11.4" x14ac:dyDescent="0.2"/>
  <cols>
    <col min="1" max="1" width="20.75" style="187" customWidth="1"/>
    <col min="2" max="2" width="25.75" style="187" customWidth="1"/>
    <col min="3" max="11" width="20.75" style="187" customWidth="1"/>
    <col min="12" max="16384" width="9.125" style="187"/>
  </cols>
  <sheetData>
    <row r="2" spans="1:9" ht="12" x14ac:dyDescent="0.25">
      <c r="B2" s="188" t="s">
        <v>73</v>
      </c>
      <c r="C2" s="189">
        <v>2021</v>
      </c>
      <c r="D2" s="189">
        <f>C2+1</f>
        <v>2022</v>
      </c>
      <c r="E2" s="189">
        <f>D2+1</f>
        <v>2023</v>
      </c>
      <c r="F2" s="189">
        <f>E2+1</f>
        <v>2024</v>
      </c>
      <c r="G2" s="189">
        <f>F2+1</f>
        <v>2025</v>
      </c>
      <c r="H2" s="189">
        <f>G2+1</f>
        <v>2026</v>
      </c>
    </row>
    <row r="3" spans="1:9" ht="3" customHeight="1" x14ac:dyDescent="0.2">
      <c r="B3" s="190"/>
      <c r="C3" s="190"/>
      <c r="D3" s="190"/>
      <c r="E3" s="190"/>
      <c r="F3" s="190"/>
      <c r="G3" s="190"/>
      <c r="H3" s="190"/>
    </row>
    <row r="4" spans="1:9" ht="3" customHeight="1" x14ac:dyDescent="0.2"/>
    <row r="5" spans="1:9" ht="12" x14ac:dyDescent="0.25">
      <c r="B5" s="191" t="s">
        <v>93</v>
      </c>
    </row>
    <row r="6" spans="1:9" x14ac:dyDescent="0.2">
      <c r="B6" s="187" t="s">
        <v>68</v>
      </c>
      <c r="C6" s="193">
        <v>1</v>
      </c>
      <c r="D6" s="193">
        <v>1</v>
      </c>
      <c r="E6" s="206">
        <f>ROUNDUP(D6*'1.Revenues and Costs of Sales'!$K$49,0)</f>
        <v>1</v>
      </c>
      <c r="F6" s="206">
        <f>ROUNDUP(E6*'1.Revenues and Costs of Sales'!$K$49,0)</f>
        <v>1</v>
      </c>
      <c r="G6" s="206">
        <f>ROUNDUP(F6*'1.Revenues and Costs of Sales'!$K$49,0)</f>
        <v>1</v>
      </c>
      <c r="H6" s="206">
        <f>ROUNDUP(G6*'1.Revenues and Costs of Sales'!$K$49,0)</f>
        <v>1</v>
      </c>
      <c r="I6" s="187" t="s">
        <v>79</v>
      </c>
    </row>
    <row r="7" spans="1:9" ht="12" thickBot="1" x14ac:dyDescent="0.25">
      <c r="B7" s="187" t="s">
        <v>89</v>
      </c>
      <c r="C7" s="195">
        <v>30000</v>
      </c>
      <c r="D7" s="195">
        <v>50000</v>
      </c>
      <c r="E7" s="205">
        <f>D7</f>
        <v>50000</v>
      </c>
      <c r="F7" s="205">
        <f>E7</f>
        <v>50000</v>
      </c>
      <c r="G7" s="205">
        <f>F7</f>
        <v>50000</v>
      </c>
      <c r="H7" s="205">
        <f>G7</f>
        <v>50000</v>
      </c>
    </row>
    <row r="8" spans="1:9" ht="12" thickBot="1" x14ac:dyDescent="0.25">
      <c r="A8" s="196">
        <v>1.4830000000000001</v>
      </c>
      <c r="B8" s="197" t="s">
        <v>90</v>
      </c>
      <c r="C8" s="198">
        <f t="shared" ref="C8:H8" si="0">C7/$A$8</f>
        <v>20229.265003371544</v>
      </c>
      <c r="D8" s="198">
        <f t="shared" si="0"/>
        <v>33715.441672285902</v>
      </c>
      <c r="E8" s="198">
        <f t="shared" si="0"/>
        <v>33715.441672285902</v>
      </c>
      <c r="F8" s="198">
        <f t="shared" si="0"/>
        <v>33715.441672285902</v>
      </c>
      <c r="G8" s="198">
        <f t="shared" si="0"/>
        <v>33715.441672285902</v>
      </c>
      <c r="H8" s="198">
        <f t="shared" si="0"/>
        <v>33715.441672285902</v>
      </c>
    </row>
    <row r="9" spans="1:9" ht="12" thickBot="1" x14ac:dyDescent="0.25">
      <c r="A9" s="199">
        <v>13.5</v>
      </c>
      <c r="B9" s="197" t="s">
        <v>91</v>
      </c>
      <c r="C9" s="198">
        <f t="shared" ref="C9:H9" si="1">C8/$A$9</f>
        <v>1498.4640743238181</v>
      </c>
      <c r="D9" s="198">
        <f t="shared" si="1"/>
        <v>2497.4401238730297</v>
      </c>
      <c r="E9" s="198">
        <f t="shared" si="1"/>
        <v>2497.4401238730297</v>
      </c>
      <c r="F9" s="198">
        <f t="shared" si="1"/>
        <v>2497.4401238730297</v>
      </c>
      <c r="G9" s="198">
        <f t="shared" si="1"/>
        <v>2497.4401238730297</v>
      </c>
      <c r="H9" s="198">
        <f t="shared" si="1"/>
        <v>2497.4401238730297</v>
      </c>
    </row>
    <row r="10" spans="1:9" x14ac:dyDescent="0.2">
      <c r="B10" s="197" t="s">
        <v>92</v>
      </c>
      <c r="C10" s="198">
        <f t="shared" ref="C10:H10" si="2">C7-C8-C9</f>
        <v>8272.2709223046386</v>
      </c>
      <c r="D10" s="198">
        <f t="shared" si="2"/>
        <v>13787.118203841068</v>
      </c>
      <c r="E10" s="198">
        <f t="shared" si="2"/>
        <v>13787.118203841068</v>
      </c>
      <c r="F10" s="198">
        <f t="shared" si="2"/>
        <v>13787.118203841068</v>
      </c>
      <c r="G10" s="198">
        <f t="shared" si="2"/>
        <v>13787.118203841068</v>
      </c>
      <c r="H10" s="198">
        <f t="shared" si="2"/>
        <v>13787.118203841068</v>
      </c>
    </row>
    <row r="11" spans="1:9" ht="3" customHeight="1" x14ac:dyDescent="0.2">
      <c r="B11" s="190"/>
      <c r="C11" s="190"/>
      <c r="D11" s="190"/>
      <c r="E11" s="190"/>
      <c r="F11" s="190"/>
      <c r="G11" s="190"/>
      <c r="H11" s="190"/>
    </row>
    <row r="12" spans="1:9" ht="3" customHeight="1" x14ac:dyDescent="0.2"/>
    <row r="13" spans="1:9" ht="12" x14ac:dyDescent="0.25">
      <c r="B13" s="200" t="s">
        <v>99</v>
      </c>
      <c r="C13" s="201">
        <f t="shared" ref="C13:H13" si="3">C7*C6</f>
        <v>30000</v>
      </c>
      <c r="D13" s="201">
        <f t="shared" si="3"/>
        <v>50000</v>
      </c>
      <c r="E13" s="201">
        <f t="shared" si="3"/>
        <v>50000</v>
      </c>
      <c r="F13" s="201">
        <f t="shared" si="3"/>
        <v>50000</v>
      </c>
      <c r="G13" s="201">
        <f t="shared" si="3"/>
        <v>50000</v>
      </c>
      <c r="H13" s="201">
        <f t="shared" si="3"/>
        <v>50000</v>
      </c>
    </row>
    <row r="15" spans="1:9" ht="12" x14ac:dyDescent="0.25">
      <c r="B15" s="191" t="s">
        <v>72</v>
      </c>
    </row>
    <row r="16" spans="1:9" x14ac:dyDescent="0.2">
      <c r="B16" s="187" t="s">
        <v>68</v>
      </c>
      <c r="C16" s="193">
        <v>0</v>
      </c>
      <c r="D16" s="193">
        <v>1</v>
      </c>
      <c r="E16" s="206">
        <f>ROUNDUP(D16*'1.Revenues and Costs of Sales'!$K$49,0)</f>
        <v>1</v>
      </c>
      <c r="F16" s="206">
        <f>ROUNDUP(E16*'1.Revenues and Costs of Sales'!$K$49,0)</f>
        <v>1</v>
      </c>
      <c r="G16" s="206">
        <f>ROUNDUP(F16*'1.Revenues and Costs of Sales'!$K$49,0)</f>
        <v>1</v>
      </c>
      <c r="H16" s="206">
        <f>ROUNDUP(G16*'1.Revenues and Costs of Sales'!$K$49,0)</f>
        <v>1</v>
      </c>
    </row>
    <row r="17" spans="2:11" x14ac:dyDescent="0.2">
      <c r="B17" s="187" t="s">
        <v>89</v>
      </c>
      <c r="C17" s="195">
        <v>0</v>
      </c>
      <c r="D17" s="195">
        <v>35000</v>
      </c>
      <c r="E17" s="205">
        <f>D17</f>
        <v>35000</v>
      </c>
      <c r="F17" s="205">
        <f>E17</f>
        <v>35000</v>
      </c>
      <c r="G17" s="205">
        <f>F17</f>
        <v>35000</v>
      </c>
      <c r="H17" s="205">
        <f>G17</f>
        <v>35000</v>
      </c>
    </row>
    <row r="18" spans="2:11" x14ac:dyDescent="0.2">
      <c r="B18" s="197" t="s">
        <v>90</v>
      </c>
      <c r="C18" s="198">
        <f t="shared" ref="C18:H18" si="4">C17/$A$8</f>
        <v>0</v>
      </c>
      <c r="D18" s="198">
        <f t="shared" si="4"/>
        <v>23600.809170600132</v>
      </c>
      <c r="E18" s="198">
        <f t="shared" si="4"/>
        <v>23600.809170600132</v>
      </c>
      <c r="F18" s="198">
        <f t="shared" si="4"/>
        <v>23600.809170600132</v>
      </c>
      <c r="G18" s="198">
        <f t="shared" si="4"/>
        <v>23600.809170600132</v>
      </c>
      <c r="H18" s="198">
        <f t="shared" si="4"/>
        <v>23600.809170600132</v>
      </c>
    </row>
    <row r="19" spans="2:11" x14ac:dyDescent="0.2">
      <c r="B19" s="197" t="s">
        <v>91</v>
      </c>
      <c r="C19" s="198">
        <f t="shared" ref="C19:H19" si="5">C18/$A$9</f>
        <v>0</v>
      </c>
      <c r="D19" s="198">
        <f t="shared" si="5"/>
        <v>1748.2080867111208</v>
      </c>
      <c r="E19" s="198">
        <f t="shared" si="5"/>
        <v>1748.2080867111208</v>
      </c>
      <c r="F19" s="198">
        <f t="shared" si="5"/>
        <v>1748.2080867111208</v>
      </c>
      <c r="G19" s="198">
        <f t="shared" si="5"/>
        <v>1748.2080867111208</v>
      </c>
      <c r="H19" s="198">
        <f t="shared" si="5"/>
        <v>1748.2080867111208</v>
      </c>
    </row>
    <row r="20" spans="2:11" x14ac:dyDescent="0.2">
      <c r="B20" s="197" t="s">
        <v>92</v>
      </c>
      <c r="C20" s="198">
        <f t="shared" ref="C20:H20" si="6">C17-C18-C19</f>
        <v>0</v>
      </c>
      <c r="D20" s="198">
        <f t="shared" si="6"/>
        <v>9650.9827426887459</v>
      </c>
      <c r="E20" s="198">
        <f t="shared" si="6"/>
        <v>9650.9827426887459</v>
      </c>
      <c r="F20" s="198">
        <f t="shared" si="6"/>
        <v>9650.9827426887459</v>
      </c>
      <c r="G20" s="198">
        <f t="shared" si="6"/>
        <v>9650.9827426887459</v>
      </c>
      <c r="H20" s="198">
        <f t="shared" si="6"/>
        <v>9650.9827426887459</v>
      </c>
    </row>
    <row r="21" spans="2:11" ht="3" customHeight="1" x14ac:dyDescent="0.2">
      <c r="B21" s="190"/>
      <c r="C21" s="190"/>
      <c r="D21" s="190"/>
      <c r="E21" s="190"/>
      <c r="F21" s="190"/>
      <c r="G21" s="190"/>
      <c r="H21" s="190"/>
    </row>
    <row r="22" spans="2:11" ht="3" customHeight="1" x14ac:dyDescent="0.2"/>
    <row r="23" spans="2:11" ht="12" x14ac:dyDescent="0.25">
      <c r="B23" s="200" t="s">
        <v>98</v>
      </c>
      <c r="C23" s="201">
        <f t="shared" ref="C23:H23" si="7">C17*C16</f>
        <v>0</v>
      </c>
      <c r="D23" s="201">
        <f t="shared" si="7"/>
        <v>35000</v>
      </c>
      <c r="E23" s="201">
        <f t="shared" si="7"/>
        <v>35000</v>
      </c>
      <c r="F23" s="201">
        <f t="shared" si="7"/>
        <v>35000</v>
      </c>
      <c r="G23" s="201">
        <f t="shared" si="7"/>
        <v>35000</v>
      </c>
      <c r="H23" s="201">
        <f t="shared" si="7"/>
        <v>35000</v>
      </c>
    </row>
    <row r="25" spans="2:11" ht="12" x14ac:dyDescent="0.25">
      <c r="B25" s="191" t="s">
        <v>71</v>
      </c>
    </row>
    <row r="26" spans="2:11" x14ac:dyDescent="0.2">
      <c r="B26" s="187" t="s">
        <v>68</v>
      </c>
      <c r="C26" s="192">
        <v>0</v>
      </c>
      <c r="D26" s="193">
        <v>2</v>
      </c>
      <c r="E26" s="206">
        <f>ROUNDUP(D26*'1.Revenues and Costs of Sales'!$K$49,0)</f>
        <v>1</v>
      </c>
      <c r="F26" s="206">
        <f>ROUNDUP(E26*'1.Revenues and Costs of Sales'!$K$49,0)</f>
        <v>1</v>
      </c>
      <c r="G26" s="206">
        <f>ROUNDUP(F26*'1.Revenues and Costs of Sales'!$K$49,0)</f>
        <v>1</v>
      </c>
      <c r="H26" s="206">
        <f>ROUNDUP(G26*'1.Revenues and Costs of Sales'!$K$49,0)</f>
        <v>1</v>
      </c>
    </row>
    <row r="27" spans="2:11" x14ac:dyDescent="0.2">
      <c r="B27" s="187" t="s">
        <v>89</v>
      </c>
      <c r="C27" s="194">
        <v>0</v>
      </c>
      <c r="D27" s="195">
        <v>50000</v>
      </c>
      <c r="E27" s="205">
        <f>D27</f>
        <v>50000</v>
      </c>
      <c r="F27" s="205">
        <f>E27</f>
        <v>50000</v>
      </c>
      <c r="G27" s="205">
        <f>F27</f>
        <v>50000</v>
      </c>
      <c r="H27" s="205">
        <f>G27</f>
        <v>50000</v>
      </c>
    </row>
    <row r="28" spans="2:11" x14ac:dyDescent="0.2">
      <c r="B28" s="197" t="s">
        <v>90</v>
      </c>
      <c r="C28" s="198">
        <f t="shared" ref="C28:H28" si="8">C27/$A$8</f>
        <v>0</v>
      </c>
      <c r="D28" s="198">
        <f t="shared" si="8"/>
        <v>33715.441672285902</v>
      </c>
      <c r="E28" s="198">
        <f t="shared" si="8"/>
        <v>33715.441672285902</v>
      </c>
      <c r="F28" s="198">
        <f t="shared" si="8"/>
        <v>33715.441672285902</v>
      </c>
      <c r="G28" s="198">
        <f t="shared" si="8"/>
        <v>33715.441672285902</v>
      </c>
      <c r="H28" s="198">
        <f t="shared" si="8"/>
        <v>33715.441672285902</v>
      </c>
    </row>
    <row r="29" spans="2:11" x14ac:dyDescent="0.2">
      <c r="B29" s="197" t="s">
        <v>91</v>
      </c>
      <c r="C29" s="198">
        <f t="shared" ref="C29:H29" si="9">C28/$A$9</f>
        <v>0</v>
      </c>
      <c r="D29" s="198">
        <f t="shared" si="9"/>
        <v>2497.4401238730297</v>
      </c>
      <c r="E29" s="198">
        <f t="shared" si="9"/>
        <v>2497.4401238730297</v>
      </c>
      <c r="F29" s="198">
        <f t="shared" si="9"/>
        <v>2497.4401238730297</v>
      </c>
      <c r="G29" s="198">
        <f t="shared" si="9"/>
        <v>2497.4401238730297</v>
      </c>
      <c r="H29" s="198">
        <f t="shared" si="9"/>
        <v>2497.4401238730297</v>
      </c>
      <c r="K29" s="187">
        <v>4</v>
      </c>
    </row>
    <row r="30" spans="2:11" x14ac:dyDescent="0.2">
      <c r="B30" s="197" t="s">
        <v>92</v>
      </c>
      <c r="C30" s="198">
        <f t="shared" ref="C30:H30" si="10">C27-C28-C29</f>
        <v>0</v>
      </c>
      <c r="D30" s="198">
        <f t="shared" si="10"/>
        <v>13787.118203841068</v>
      </c>
      <c r="E30" s="198">
        <f t="shared" si="10"/>
        <v>13787.118203841068</v>
      </c>
      <c r="F30" s="198">
        <f t="shared" si="10"/>
        <v>13787.118203841068</v>
      </c>
      <c r="G30" s="198">
        <f t="shared" si="10"/>
        <v>13787.118203841068</v>
      </c>
      <c r="H30" s="198">
        <f t="shared" si="10"/>
        <v>13787.118203841068</v>
      </c>
    </row>
    <row r="31" spans="2:11" ht="3" customHeight="1" x14ac:dyDescent="0.2">
      <c r="B31" s="190"/>
      <c r="C31" s="190"/>
      <c r="D31" s="190"/>
      <c r="E31" s="190"/>
      <c r="F31" s="190"/>
      <c r="G31" s="190"/>
      <c r="H31" s="190"/>
    </row>
    <row r="32" spans="2:11" ht="3" customHeight="1" x14ac:dyDescent="0.2"/>
    <row r="33" spans="2:11" ht="12" x14ac:dyDescent="0.25">
      <c r="B33" s="200" t="s">
        <v>97</v>
      </c>
      <c r="C33" s="201">
        <f t="shared" ref="C33:H33" si="11">C27*C26</f>
        <v>0</v>
      </c>
      <c r="D33" s="201">
        <f t="shared" si="11"/>
        <v>100000</v>
      </c>
      <c r="E33" s="201">
        <f t="shared" si="11"/>
        <v>50000</v>
      </c>
      <c r="F33" s="201">
        <f t="shared" si="11"/>
        <v>50000</v>
      </c>
      <c r="G33" s="201">
        <f t="shared" si="11"/>
        <v>50000</v>
      </c>
      <c r="H33" s="201">
        <f t="shared" si="11"/>
        <v>50000</v>
      </c>
    </row>
    <row r="35" spans="2:11" ht="12" x14ac:dyDescent="0.25">
      <c r="B35" s="191" t="s">
        <v>69</v>
      </c>
    </row>
    <row r="36" spans="2:11" x14ac:dyDescent="0.2">
      <c r="B36" s="187" t="s">
        <v>68</v>
      </c>
      <c r="C36" s="192">
        <v>0</v>
      </c>
      <c r="D36" s="193">
        <v>1</v>
      </c>
      <c r="E36" s="206">
        <f>ROUNDUP(D36*'1.Revenues and Costs of Sales'!$K$49,0)</f>
        <v>1</v>
      </c>
      <c r="F36" s="206">
        <f>ROUNDUP(E36*'1.Revenues and Costs of Sales'!$K$49,0)</f>
        <v>1</v>
      </c>
      <c r="G36" s="206">
        <f>ROUNDUP(F36*'1.Revenues and Costs of Sales'!$K$49,0)</f>
        <v>1</v>
      </c>
      <c r="H36" s="206">
        <f>ROUNDUP(G36*'1.Revenues and Costs of Sales'!$K$49,0)</f>
        <v>1</v>
      </c>
    </row>
    <row r="37" spans="2:11" x14ac:dyDescent="0.2">
      <c r="B37" s="187" t="s">
        <v>89</v>
      </c>
      <c r="C37" s="194">
        <v>0</v>
      </c>
      <c r="D37" s="195">
        <v>35000</v>
      </c>
      <c r="E37" s="205">
        <f>D37</f>
        <v>35000</v>
      </c>
      <c r="F37" s="205">
        <f>E37</f>
        <v>35000</v>
      </c>
      <c r="G37" s="205">
        <f>F37</f>
        <v>35000</v>
      </c>
      <c r="H37" s="205">
        <f>G37</f>
        <v>35000</v>
      </c>
    </row>
    <row r="38" spans="2:11" x14ac:dyDescent="0.2">
      <c r="B38" s="197" t="s">
        <v>90</v>
      </c>
      <c r="C38" s="198">
        <f t="shared" ref="C38:H38" si="12">C37/$A$8</f>
        <v>0</v>
      </c>
      <c r="D38" s="198">
        <f t="shared" si="12"/>
        <v>23600.809170600132</v>
      </c>
      <c r="E38" s="198">
        <f t="shared" si="12"/>
        <v>23600.809170600132</v>
      </c>
      <c r="F38" s="198">
        <f t="shared" si="12"/>
        <v>23600.809170600132</v>
      </c>
      <c r="G38" s="198">
        <f t="shared" si="12"/>
        <v>23600.809170600132</v>
      </c>
      <c r="H38" s="198">
        <f t="shared" si="12"/>
        <v>23600.809170600132</v>
      </c>
    </row>
    <row r="39" spans="2:11" x14ac:dyDescent="0.2">
      <c r="B39" s="197" t="s">
        <v>91</v>
      </c>
      <c r="C39" s="198">
        <f t="shared" ref="C39:H39" si="13">C38/$A$9</f>
        <v>0</v>
      </c>
      <c r="D39" s="198">
        <f t="shared" si="13"/>
        <v>1748.2080867111208</v>
      </c>
      <c r="E39" s="198">
        <f t="shared" si="13"/>
        <v>1748.2080867111208</v>
      </c>
      <c r="F39" s="198">
        <f t="shared" si="13"/>
        <v>1748.2080867111208</v>
      </c>
      <c r="G39" s="198">
        <f t="shared" si="13"/>
        <v>1748.2080867111208</v>
      </c>
      <c r="H39" s="198">
        <f t="shared" si="13"/>
        <v>1748.2080867111208</v>
      </c>
      <c r="K39" s="187">
        <v>4</v>
      </c>
    </row>
    <row r="40" spans="2:11" x14ac:dyDescent="0.2">
      <c r="B40" s="197" t="s">
        <v>92</v>
      </c>
      <c r="C40" s="198">
        <f t="shared" ref="C40:H40" si="14">C37-C38-C39</f>
        <v>0</v>
      </c>
      <c r="D40" s="198">
        <f t="shared" si="14"/>
        <v>9650.9827426887459</v>
      </c>
      <c r="E40" s="198">
        <f t="shared" si="14"/>
        <v>9650.9827426887459</v>
      </c>
      <c r="F40" s="198">
        <f t="shared" si="14"/>
        <v>9650.9827426887459</v>
      </c>
      <c r="G40" s="198">
        <f t="shared" si="14"/>
        <v>9650.9827426887459</v>
      </c>
      <c r="H40" s="198">
        <f t="shared" si="14"/>
        <v>9650.9827426887459</v>
      </c>
    </row>
    <row r="41" spans="2:11" ht="3" customHeight="1" x14ac:dyDescent="0.2">
      <c r="B41" s="190"/>
      <c r="C41" s="190"/>
      <c r="D41" s="190"/>
      <c r="E41" s="190"/>
      <c r="F41" s="190"/>
      <c r="G41" s="190"/>
      <c r="H41" s="190"/>
    </row>
    <row r="42" spans="2:11" ht="3" customHeight="1" x14ac:dyDescent="0.2"/>
    <row r="43" spans="2:11" ht="12" x14ac:dyDescent="0.25">
      <c r="B43" s="200" t="s">
        <v>96</v>
      </c>
      <c r="C43" s="201">
        <f t="shared" ref="C43:H43" si="15">C37*C36</f>
        <v>0</v>
      </c>
      <c r="D43" s="201">
        <f t="shared" si="15"/>
        <v>35000</v>
      </c>
      <c r="E43" s="201">
        <f t="shared" si="15"/>
        <v>35000</v>
      </c>
      <c r="F43" s="201">
        <f t="shared" si="15"/>
        <v>35000</v>
      </c>
      <c r="G43" s="201">
        <f t="shared" si="15"/>
        <v>35000</v>
      </c>
      <c r="H43" s="201">
        <f t="shared" si="15"/>
        <v>35000</v>
      </c>
    </row>
    <row r="45" spans="2:11" ht="12" x14ac:dyDescent="0.25">
      <c r="B45" s="191" t="s">
        <v>70</v>
      </c>
    </row>
    <row r="46" spans="2:11" x14ac:dyDescent="0.2">
      <c r="B46" s="187" t="s">
        <v>68</v>
      </c>
      <c r="C46" s="193">
        <v>0</v>
      </c>
      <c r="D46" s="193">
        <v>1</v>
      </c>
      <c r="E46" s="206">
        <f>ROUNDUP(D46*'1.Revenues and Costs of Sales'!$K$49,0)</f>
        <v>1</v>
      </c>
      <c r="F46" s="206">
        <f>ROUNDUP(E46*'1.Revenues and Costs of Sales'!$K$49,0)</f>
        <v>1</v>
      </c>
      <c r="G46" s="206">
        <f>ROUNDUP(F46*'1.Revenues and Costs of Sales'!$K$49,0)</f>
        <v>1</v>
      </c>
      <c r="H46" s="206">
        <f>ROUNDUP(G46*'1.Revenues and Costs of Sales'!$K$49,0)</f>
        <v>1</v>
      </c>
    </row>
    <row r="47" spans="2:11" x14ac:dyDescent="0.2">
      <c r="B47" s="187" t="s">
        <v>89</v>
      </c>
      <c r="C47" s="195">
        <v>0</v>
      </c>
      <c r="D47" s="195">
        <v>50000</v>
      </c>
      <c r="E47" s="205">
        <f>D47</f>
        <v>50000</v>
      </c>
      <c r="F47" s="205">
        <f>E47</f>
        <v>50000</v>
      </c>
      <c r="G47" s="205">
        <f>F47</f>
        <v>50000</v>
      </c>
      <c r="H47" s="205">
        <f>G47</f>
        <v>50000</v>
      </c>
    </row>
    <row r="48" spans="2:11" x14ac:dyDescent="0.2">
      <c r="B48" s="197" t="s">
        <v>90</v>
      </c>
      <c r="C48" s="198">
        <f t="shared" ref="C48:H48" si="16">C47/$A$8</f>
        <v>0</v>
      </c>
      <c r="D48" s="198">
        <f t="shared" si="16"/>
        <v>33715.441672285902</v>
      </c>
      <c r="E48" s="198">
        <f t="shared" si="16"/>
        <v>33715.441672285902</v>
      </c>
      <c r="F48" s="198">
        <f t="shared" si="16"/>
        <v>33715.441672285902</v>
      </c>
      <c r="G48" s="198">
        <f t="shared" si="16"/>
        <v>33715.441672285902</v>
      </c>
      <c r="H48" s="198">
        <f t="shared" si="16"/>
        <v>33715.441672285902</v>
      </c>
    </row>
    <row r="49" spans="2:8" x14ac:dyDescent="0.2">
      <c r="B49" s="197" t="s">
        <v>91</v>
      </c>
      <c r="C49" s="198">
        <f t="shared" ref="C49:H49" si="17">C48/$A$9</f>
        <v>0</v>
      </c>
      <c r="D49" s="198">
        <f t="shared" si="17"/>
        <v>2497.4401238730297</v>
      </c>
      <c r="E49" s="198">
        <f t="shared" si="17"/>
        <v>2497.4401238730297</v>
      </c>
      <c r="F49" s="198">
        <f t="shared" si="17"/>
        <v>2497.4401238730297</v>
      </c>
      <c r="G49" s="198">
        <f t="shared" si="17"/>
        <v>2497.4401238730297</v>
      </c>
      <c r="H49" s="198">
        <f t="shared" si="17"/>
        <v>2497.4401238730297</v>
      </c>
    </row>
    <row r="50" spans="2:8" x14ac:dyDescent="0.2">
      <c r="B50" s="197" t="s">
        <v>92</v>
      </c>
      <c r="C50" s="198">
        <f t="shared" ref="C50:H50" si="18">C47-C48-C49</f>
        <v>0</v>
      </c>
      <c r="D50" s="198">
        <f t="shared" si="18"/>
        <v>13787.118203841068</v>
      </c>
      <c r="E50" s="198">
        <f t="shared" si="18"/>
        <v>13787.118203841068</v>
      </c>
      <c r="F50" s="198">
        <f t="shared" si="18"/>
        <v>13787.118203841068</v>
      </c>
      <c r="G50" s="198">
        <f t="shared" si="18"/>
        <v>13787.118203841068</v>
      </c>
      <c r="H50" s="198">
        <f t="shared" si="18"/>
        <v>13787.118203841068</v>
      </c>
    </row>
    <row r="51" spans="2:8" ht="3" customHeight="1" x14ac:dyDescent="0.2">
      <c r="B51" s="190"/>
      <c r="C51" s="190"/>
      <c r="D51" s="190"/>
      <c r="E51" s="190"/>
      <c r="F51" s="190"/>
      <c r="G51" s="190"/>
      <c r="H51" s="190"/>
    </row>
    <row r="52" spans="2:8" ht="3" customHeight="1" x14ac:dyDescent="0.2"/>
    <row r="53" spans="2:8" ht="12" x14ac:dyDescent="0.25">
      <c r="B53" s="200" t="s">
        <v>95</v>
      </c>
      <c r="C53" s="201">
        <f t="shared" ref="C53:H53" si="19">C47*C46</f>
        <v>0</v>
      </c>
      <c r="D53" s="201">
        <f t="shared" si="19"/>
        <v>50000</v>
      </c>
      <c r="E53" s="201">
        <f t="shared" si="19"/>
        <v>50000</v>
      </c>
      <c r="F53" s="201">
        <f t="shared" si="19"/>
        <v>50000</v>
      </c>
      <c r="G53" s="201">
        <f t="shared" si="19"/>
        <v>50000</v>
      </c>
      <c r="H53" s="201">
        <f t="shared" si="19"/>
        <v>50000</v>
      </c>
    </row>
    <row r="55" spans="2:8" ht="12" x14ac:dyDescent="0.25">
      <c r="B55" s="191" t="s">
        <v>80</v>
      </c>
    </row>
    <row r="56" spans="2:8" x14ac:dyDescent="0.2">
      <c r="B56" s="187" t="s">
        <v>68</v>
      </c>
      <c r="C56" s="193">
        <v>0</v>
      </c>
      <c r="D56" s="193">
        <v>1</v>
      </c>
      <c r="E56" s="193">
        <v>1</v>
      </c>
      <c r="F56" s="193">
        <v>2</v>
      </c>
      <c r="G56" s="193">
        <v>2</v>
      </c>
      <c r="H56" s="193">
        <v>2</v>
      </c>
    </row>
    <row r="57" spans="2:8" x14ac:dyDescent="0.2">
      <c r="B57" s="187" t="s">
        <v>89</v>
      </c>
      <c r="C57" s="195">
        <v>0</v>
      </c>
      <c r="D57" s="195">
        <v>60000</v>
      </c>
      <c r="E57" s="195">
        <v>60000</v>
      </c>
      <c r="F57" s="205">
        <f>E57</f>
        <v>60000</v>
      </c>
      <c r="G57" s="205">
        <f>F57</f>
        <v>60000</v>
      </c>
      <c r="H57" s="205">
        <f>G57</f>
        <v>60000</v>
      </c>
    </row>
    <row r="58" spans="2:8" x14ac:dyDescent="0.2">
      <c r="B58" s="197" t="s">
        <v>90</v>
      </c>
      <c r="C58" s="198">
        <f t="shared" ref="C58:H58" si="20">C57/$A$8</f>
        <v>0</v>
      </c>
      <c r="D58" s="198">
        <f t="shared" si="20"/>
        <v>40458.530006743087</v>
      </c>
      <c r="E58" s="198">
        <f t="shared" si="20"/>
        <v>40458.530006743087</v>
      </c>
      <c r="F58" s="198">
        <f t="shared" si="20"/>
        <v>40458.530006743087</v>
      </c>
      <c r="G58" s="198">
        <f t="shared" si="20"/>
        <v>40458.530006743087</v>
      </c>
      <c r="H58" s="198">
        <f t="shared" si="20"/>
        <v>40458.530006743087</v>
      </c>
    </row>
    <row r="59" spans="2:8" x14ac:dyDescent="0.2">
      <c r="B59" s="197" t="s">
        <v>91</v>
      </c>
      <c r="C59" s="198">
        <f t="shared" ref="C59:H59" si="21">C58/$A$9</f>
        <v>0</v>
      </c>
      <c r="D59" s="198">
        <f t="shared" si="21"/>
        <v>2996.9281486476361</v>
      </c>
      <c r="E59" s="198">
        <f t="shared" si="21"/>
        <v>2996.9281486476361</v>
      </c>
      <c r="F59" s="198">
        <f t="shared" si="21"/>
        <v>2996.9281486476361</v>
      </c>
      <c r="G59" s="198">
        <f t="shared" si="21"/>
        <v>2996.9281486476361</v>
      </c>
      <c r="H59" s="198">
        <f t="shared" si="21"/>
        <v>2996.9281486476361</v>
      </c>
    </row>
    <row r="60" spans="2:8" x14ac:dyDescent="0.2">
      <c r="B60" s="197" t="s">
        <v>92</v>
      </c>
      <c r="C60" s="198">
        <f t="shared" ref="C60:H60" si="22">C57-C58-C59</f>
        <v>0</v>
      </c>
      <c r="D60" s="198">
        <f t="shared" si="22"/>
        <v>16544.541844609277</v>
      </c>
      <c r="E60" s="198">
        <f t="shared" si="22"/>
        <v>16544.541844609277</v>
      </c>
      <c r="F60" s="198">
        <f t="shared" si="22"/>
        <v>16544.541844609277</v>
      </c>
      <c r="G60" s="198">
        <f t="shared" si="22"/>
        <v>16544.541844609277</v>
      </c>
      <c r="H60" s="198">
        <f t="shared" si="22"/>
        <v>16544.541844609277</v>
      </c>
    </row>
    <row r="61" spans="2:8" ht="3" customHeight="1" x14ac:dyDescent="0.2">
      <c r="B61" s="190"/>
      <c r="C61" s="190"/>
      <c r="D61" s="190"/>
      <c r="E61" s="190"/>
      <c r="F61" s="190"/>
      <c r="G61" s="190"/>
      <c r="H61" s="190"/>
    </row>
    <row r="62" spans="2:8" ht="3" customHeight="1" x14ac:dyDescent="0.2"/>
    <row r="63" spans="2:8" ht="12" x14ac:dyDescent="0.25">
      <c r="B63" s="200" t="s">
        <v>94</v>
      </c>
      <c r="C63" s="201">
        <f t="shared" ref="C63:H63" si="23">C57*C56</f>
        <v>0</v>
      </c>
      <c r="D63" s="201">
        <f t="shared" si="23"/>
        <v>60000</v>
      </c>
      <c r="E63" s="201">
        <f t="shared" si="23"/>
        <v>60000</v>
      </c>
      <c r="F63" s="201">
        <f t="shared" si="23"/>
        <v>120000</v>
      </c>
      <c r="G63" s="201">
        <f t="shared" si="23"/>
        <v>120000</v>
      </c>
      <c r="H63" s="201">
        <f t="shared" si="23"/>
        <v>120000</v>
      </c>
    </row>
    <row r="65" spans="2:8" ht="12" x14ac:dyDescent="0.25">
      <c r="B65" s="191" t="s">
        <v>208</v>
      </c>
    </row>
    <row r="66" spans="2:8" x14ac:dyDescent="0.2">
      <c r="B66" s="187" t="s">
        <v>68</v>
      </c>
      <c r="C66" s="193">
        <v>0</v>
      </c>
      <c r="D66" s="193">
        <v>3</v>
      </c>
      <c r="E66" s="206">
        <f>D66</f>
        <v>3</v>
      </c>
      <c r="F66" s="193">
        <v>3</v>
      </c>
      <c r="G66" s="193">
        <v>3</v>
      </c>
      <c r="H66" s="193">
        <v>3</v>
      </c>
    </row>
    <row r="67" spans="2:8" x14ac:dyDescent="0.2">
      <c r="B67" s="187" t="s">
        <v>89</v>
      </c>
      <c r="C67" s="195">
        <v>0</v>
      </c>
      <c r="D67" s="195">
        <v>60000</v>
      </c>
      <c r="E67" s="205">
        <f>D67*'1.Revenues and Costs of Sales'!$K$35</f>
        <v>123810.68780131008</v>
      </c>
      <c r="F67" s="205">
        <f>E67*'1.Revenues and Costs of Sales'!$K$35</f>
        <v>255484.77356389121</v>
      </c>
      <c r="G67" s="205">
        <f>F67*'1.Revenues and Costs of Sales'!$K$35</f>
        <v>527195.75896178896</v>
      </c>
      <c r="H67" s="205">
        <f>G67*'1.Revenues and Costs of Sales'!$K$35</f>
        <v>1087874.4920498796</v>
      </c>
    </row>
    <row r="68" spans="2:8" x14ac:dyDescent="0.2">
      <c r="B68" s="197" t="s">
        <v>90</v>
      </c>
      <c r="C68" s="198">
        <f t="shared" ref="C68:H68" si="24">C67/$A$8</f>
        <v>0</v>
      </c>
      <c r="D68" s="198">
        <f t="shared" si="24"/>
        <v>40458.530006743087</v>
      </c>
      <c r="E68" s="198">
        <f t="shared" si="24"/>
        <v>83486.640459413393</v>
      </c>
      <c r="F68" s="198">
        <f t="shared" si="24"/>
        <v>172275.63962501092</v>
      </c>
      <c r="G68" s="198">
        <f t="shared" si="24"/>
        <v>355492.75722305389</v>
      </c>
      <c r="H68" s="198">
        <f t="shared" si="24"/>
        <v>733563.3796695075</v>
      </c>
    </row>
    <row r="69" spans="2:8" x14ac:dyDescent="0.2">
      <c r="B69" s="197" t="s">
        <v>91</v>
      </c>
      <c r="C69" s="198">
        <f t="shared" ref="C69:H69" si="25">C68/$A$9</f>
        <v>0</v>
      </c>
      <c r="D69" s="198">
        <f t="shared" si="25"/>
        <v>2996.9281486476361</v>
      </c>
      <c r="E69" s="198">
        <f t="shared" si="25"/>
        <v>6184.1955895861774</v>
      </c>
      <c r="F69" s="198">
        <f t="shared" si="25"/>
        <v>12761.158490741551</v>
      </c>
      <c r="G69" s="198">
        <f t="shared" si="25"/>
        <v>26332.796831337324</v>
      </c>
      <c r="H69" s="198">
        <f t="shared" si="25"/>
        <v>54338.028123667224</v>
      </c>
    </row>
    <row r="70" spans="2:8" x14ac:dyDescent="0.2">
      <c r="B70" s="197" t="s">
        <v>92</v>
      </c>
      <c r="C70" s="198">
        <f t="shared" ref="C70:H70" si="26">C67-C68-C69</f>
        <v>0</v>
      </c>
      <c r="D70" s="198">
        <f t="shared" si="26"/>
        <v>16544.541844609277</v>
      </c>
      <c r="E70" s="198">
        <f t="shared" si="26"/>
        <v>34139.851752310511</v>
      </c>
      <c r="F70" s="198">
        <f t="shared" si="26"/>
        <v>70447.975448138735</v>
      </c>
      <c r="G70" s="198">
        <f t="shared" si="26"/>
        <v>145370.20490739774</v>
      </c>
      <c r="H70" s="198">
        <f t="shared" si="26"/>
        <v>299973.0842567049</v>
      </c>
    </row>
    <row r="71" spans="2:8" ht="3" customHeight="1" x14ac:dyDescent="0.2">
      <c r="B71" s="190"/>
      <c r="C71" s="190"/>
      <c r="D71" s="190"/>
      <c r="E71" s="190"/>
      <c r="F71" s="190"/>
      <c r="G71" s="190"/>
      <c r="H71" s="190"/>
    </row>
    <row r="72" spans="2:8" ht="3" customHeight="1" x14ac:dyDescent="0.2"/>
    <row r="73" spans="2:8" ht="12" x14ac:dyDescent="0.25">
      <c r="B73" s="200" t="s">
        <v>207</v>
      </c>
      <c r="C73" s="201">
        <f t="shared" ref="C73:H73" si="27">C67*C66</f>
        <v>0</v>
      </c>
      <c r="D73" s="201">
        <f t="shared" si="27"/>
        <v>180000</v>
      </c>
      <c r="E73" s="201">
        <f t="shared" si="27"/>
        <v>371432.06340393022</v>
      </c>
      <c r="F73" s="201">
        <f t="shared" si="27"/>
        <v>766454.32069167367</v>
      </c>
      <c r="G73" s="201">
        <f t="shared" si="27"/>
        <v>1581587.276885367</v>
      </c>
      <c r="H73" s="201">
        <f t="shared" si="27"/>
        <v>3263623.4761496391</v>
      </c>
    </row>
    <row r="74" spans="2:8" ht="3" customHeight="1" x14ac:dyDescent="0.2">
      <c r="B74" s="190"/>
      <c r="C74" s="190"/>
      <c r="D74" s="190"/>
      <c r="E74" s="190"/>
      <c r="F74" s="190"/>
      <c r="G74" s="190"/>
      <c r="H74" s="190"/>
    </row>
    <row r="75" spans="2:8" ht="3" customHeight="1" x14ac:dyDescent="0.2"/>
    <row r="76" spans="2:8" ht="12" x14ac:dyDescent="0.25">
      <c r="B76" s="202" t="s">
        <v>35</v>
      </c>
      <c r="C76" s="201">
        <f t="shared" ref="C76:H76" si="28">C13+C43+C53+C73+C23+C33+C63</f>
        <v>30000</v>
      </c>
      <c r="D76" s="201">
        <f t="shared" si="28"/>
        <v>510000</v>
      </c>
      <c r="E76" s="201">
        <f t="shared" si="28"/>
        <v>651432.06340393028</v>
      </c>
      <c r="F76" s="201">
        <f t="shared" si="28"/>
        <v>1106454.3206916736</v>
      </c>
      <c r="G76" s="201">
        <f t="shared" si="28"/>
        <v>1921587.276885367</v>
      </c>
      <c r="H76" s="201">
        <f t="shared" si="28"/>
        <v>3603623.4761496391</v>
      </c>
    </row>
    <row r="79" spans="2:8" ht="12" x14ac:dyDescent="0.25">
      <c r="B79" s="191" t="s">
        <v>100</v>
      </c>
      <c r="C79" s="201">
        <f t="shared" ref="C79:H79" si="29">C8*C$6+C38*C$36+C48*C$46+C68*C$66+C18*C$16+C28*C$26+C58*C$56</f>
        <v>20229.265003371544</v>
      </c>
      <c r="D79" s="201">
        <f t="shared" si="29"/>
        <v>343897.50505731622</v>
      </c>
      <c r="E79" s="201">
        <f t="shared" si="29"/>
        <v>439266.39474304125</v>
      </c>
      <c r="F79" s="201">
        <f t="shared" si="29"/>
        <v>746091.92224657699</v>
      </c>
      <c r="G79" s="201">
        <f t="shared" si="29"/>
        <v>1295743.2750407057</v>
      </c>
      <c r="H79" s="201">
        <f t="shared" si="29"/>
        <v>2429955.1423800667</v>
      </c>
    </row>
    <row r="80" spans="2:8" ht="12" x14ac:dyDescent="0.25">
      <c r="B80" s="191" t="s">
        <v>101</v>
      </c>
      <c r="C80" s="201">
        <f t="shared" ref="C80:H81" si="30">C9*C$6+C39*C$36+C49*C$46+C69*C$66+C19*C$16+C29*C$26+C59*C$56</f>
        <v>1498.4640743238181</v>
      </c>
      <c r="D80" s="201">
        <f t="shared" si="30"/>
        <v>25473.889263504905</v>
      </c>
      <c r="E80" s="201">
        <f t="shared" si="30"/>
        <v>32538.251462447504</v>
      </c>
      <c r="F80" s="201">
        <f t="shared" si="30"/>
        <v>55266.068314561249</v>
      </c>
      <c r="G80" s="201">
        <f t="shared" si="30"/>
        <v>95980.983336348581</v>
      </c>
      <c r="H80" s="201">
        <f t="shared" si="30"/>
        <v>179996.67721333829</v>
      </c>
    </row>
    <row r="81" spans="2:8" ht="12" x14ac:dyDescent="0.25">
      <c r="B81" s="191" t="s">
        <v>102</v>
      </c>
      <c r="C81" s="201">
        <f t="shared" si="30"/>
        <v>8272.2709223046386</v>
      </c>
      <c r="D81" s="201">
        <f t="shared" si="30"/>
        <v>140628.60567917887</v>
      </c>
      <c r="E81" s="201">
        <f t="shared" si="30"/>
        <v>179627.41719844149</v>
      </c>
      <c r="F81" s="201">
        <f t="shared" si="30"/>
        <v>305096.33013053547</v>
      </c>
      <c r="G81" s="201">
        <f t="shared" si="30"/>
        <v>529863.01850831241</v>
      </c>
      <c r="H81" s="201">
        <f t="shared" si="30"/>
        <v>993671.65655623388</v>
      </c>
    </row>
  </sheetData>
  <pageMargins left="0.7" right="0.7" top="0.75" bottom="0.75" header="0.3" footer="0.3"/>
  <pageSetup paperSize="9" orientation="portrait"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59999389629810485"/>
  </sheetPr>
  <dimension ref="A1:I11"/>
  <sheetViews>
    <sheetView showGridLines="0" workbookViewId="0">
      <pane xSplit="1" ySplit="2" topLeftCell="B3" activePane="bottomRight" state="frozen"/>
      <selection pane="topRight" activeCell="B1" sqref="B1"/>
      <selection pane="bottomLeft" activeCell="A5" sqref="A5"/>
      <selection pane="bottomRight" activeCell="F11" sqref="F11"/>
    </sheetView>
  </sheetViews>
  <sheetFormatPr defaultColWidth="8.875" defaultRowHeight="11.4" x14ac:dyDescent="0.2"/>
  <cols>
    <col min="1" max="1" width="59.25" style="91" customWidth="1"/>
    <col min="2" max="8" width="20.75" style="91" customWidth="1"/>
    <col min="9" max="9" width="19.875" style="91" customWidth="1"/>
    <col min="10" max="16384" width="8.875" style="91"/>
  </cols>
  <sheetData>
    <row r="1" spans="1:9" s="132" customFormat="1" ht="12.6" thickBot="1" x14ac:dyDescent="0.3">
      <c r="A1" s="131" t="s">
        <v>61</v>
      </c>
    </row>
    <row r="2" spans="1:9" ht="5.0999999999999996" customHeight="1" thickTop="1" x14ac:dyDescent="0.25">
      <c r="A2" s="129"/>
      <c r="B2" s="130"/>
      <c r="C2" s="130"/>
      <c r="D2" s="130"/>
      <c r="E2" s="130"/>
      <c r="F2" s="130"/>
      <c r="G2" s="130"/>
    </row>
    <row r="3" spans="1:9" ht="5.0999999999999996" customHeight="1" thickBot="1" x14ac:dyDescent="0.3">
      <c r="A3" s="129"/>
      <c r="B3" s="133"/>
      <c r="C3" s="133"/>
      <c r="D3" s="133"/>
      <c r="E3" s="133"/>
      <c r="F3" s="133"/>
    </row>
    <row r="4" spans="1:9" ht="15" customHeight="1" thickTop="1" thickBot="1" x14ac:dyDescent="0.3">
      <c r="A4" s="128" t="s">
        <v>81</v>
      </c>
      <c r="B4" s="139">
        <f>2021</f>
        <v>2021</v>
      </c>
      <c r="C4" s="139">
        <f>B4+1</f>
        <v>2022</v>
      </c>
      <c r="D4" s="139">
        <f>C4+1</f>
        <v>2023</v>
      </c>
      <c r="E4" s="139">
        <f>D4+1</f>
        <v>2024</v>
      </c>
      <c r="F4" s="139">
        <f>E4+1</f>
        <v>2025</v>
      </c>
      <c r="G4" s="139">
        <f>F4+1</f>
        <v>2026</v>
      </c>
      <c r="I4" s="139" t="s">
        <v>105</v>
      </c>
    </row>
    <row r="5" spans="1:9" ht="5.0999999999999996" customHeight="1" thickTop="1" thickBot="1" x14ac:dyDescent="0.3">
      <c r="A5" s="129"/>
      <c r="B5" s="133"/>
      <c r="C5" s="133"/>
      <c r="D5" s="133"/>
      <c r="E5" s="133"/>
      <c r="F5" s="133"/>
      <c r="G5" s="133"/>
    </row>
    <row r="6" spans="1:9" ht="15" customHeight="1" thickTop="1" thickBot="1" x14ac:dyDescent="0.25">
      <c r="A6" s="145" t="s">
        <v>82</v>
      </c>
      <c r="B6" s="146">
        <v>0</v>
      </c>
      <c r="C6" s="146">
        <v>0</v>
      </c>
      <c r="D6" s="207">
        <f ca="1">I6*-' Cash Flow Statement'!D51</f>
        <v>156978.05043786034</v>
      </c>
      <c r="E6" s="146">
        <v>0</v>
      </c>
      <c r="F6" s="146">
        <v>0</v>
      </c>
      <c r="G6" s="146">
        <v>0</v>
      </c>
      <c r="I6" s="186">
        <v>0.5</v>
      </c>
    </row>
    <row r="7" spans="1:9" ht="15" customHeight="1" thickTop="1" thickBot="1" x14ac:dyDescent="0.25">
      <c r="A7" s="145" t="s">
        <v>83</v>
      </c>
      <c r="B7" s="146">
        <v>0</v>
      </c>
      <c r="C7" s="146">
        <v>0</v>
      </c>
      <c r="D7" s="146">
        <v>50000</v>
      </c>
      <c r="E7" s="146">
        <v>0</v>
      </c>
      <c r="F7" s="146">
        <v>6000000</v>
      </c>
      <c r="G7" s="146">
        <v>0</v>
      </c>
    </row>
    <row r="8" spans="1:9" ht="15" customHeight="1" thickTop="1" thickBot="1" x14ac:dyDescent="0.25">
      <c r="A8" s="145" t="s">
        <v>84</v>
      </c>
      <c r="B8" s="133">
        <f>$I$8*'1.Revenues and Costs of Sales'!C35</f>
        <v>247.3333333333334</v>
      </c>
      <c r="C8" s="133">
        <f>$I$8*'1.Revenues and Costs of Sales'!D35</f>
        <v>6347.3529040765416</v>
      </c>
      <c r="D8" s="133">
        <f>$I$8*'1.Revenues and Costs of Sales'!E35</f>
        <v>33105.532288484399</v>
      </c>
      <c r="E8" s="133">
        <f>$I$8*'1.Revenues and Costs of Sales'!F35</f>
        <v>75605.700237999961</v>
      </c>
      <c r="F8" s="133">
        <f>$I$8*'1.Revenues and Costs of Sales'!G35</f>
        <v>114256.65950435739</v>
      </c>
      <c r="G8" s="133">
        <f>$I$8*'1.Revenues and Costs of Sales'!H35</f>
        <v>157619.29784989572</v>
      </c>
      <c r="I8" s="186">
        <v>0.02</v>
      </c>
    </row>
    <row r="9" spans="1:9" ht="15" customHeight="1" thickTop="1" thickBot="1" x14ac:dyDescent="0.25">
      <c r="A9" s="145" t="s">
        <v>85</v>
      </c>
      <c r="B9" s="146">
        <v>0</v>
      </c>
      <c r="C9" s="207">
        <f>$I$9*'1.Revenues and Costs of Sales'!D35</f>
        <v>3173.6764520382708</v>
      </c>
      <c r="D9" s="207">
        <f>$I$9*'1.Revenues and Costs of Sales'!E35</f>
        <v>16552.7661442422</v>
      </c>
      <c r="E9" s="207">
        <f>$I$9*'1.Revenues and Costs of Sales'!F35</f>
        <v>37802.850118999981</v>
      </c>
      <c r="F9" s="207">
        <f>$I$9*'1.Revenues and Costs of Sales'!G35</f>
        <v>57128.329752178695</v>
      </c>
      <c r="G9" s="207">
        <f>$I$9*'1.Revenues and Costs of Sales'!H35</f>
        <v>78809.648924947862</v>
      </c>
      <c r="I9" s="186">
        <v>0.01</v>
      </c>
    </row>
    <row r="10" spans="1:9" ht="15" customHeight="1" thickTop="1" thickBot="1" x14ac:dyDescent="0.25">
      <c r="A10" s="145" t="s">
        <v>86</v>
      </c>
      <c r="B10" s="146">
        <v>0</v>
      </c>
      <c r="C10" s="207">
        <f>$I$10*('4.Personnel'!D6+'4.Personnel'!D16+'4.Personnel'!D26+'4.Personnel'!D36+'4.Personnel'!D46+'4.Personnel'!D56+'4.Personnel'!D66)</f>
        <v>20000</v>
      </c>
      <c r="D10" s="207">
        <f>$I$10*('4.Personnel'!E6+'4.Personnel'!E16+'4.Personnel'!E26+'4.Personnel'!E36+'4.Personnel'!E46+'4.Personnel'!E56+'4.Personnel'!E66)</f>
        <v>18000</v>
      </c>
      <c r="E10" s="207">
        <f>$I$10*('4.Personnel'!F6+'4.Personnel'!F16+'4.Personnel'!F26+'4.Personnel'!F36+'4.Personnel'!F46+'4.Personnel'!F56+'4.Personnel'!F66)</f>
        <v>20000</v>
      </c>
      <c r="F10" s="207">
        <f>$I$10*('4.Personnel'!G6+'4.Personnel'!G16+'4.Personnel'!G26+'4.Personnel'!G36+'4.Personnel'!G46+'4.Personnel'!G56+'4.Personnel'!G66)</f>
        <v>20000</v>
      </c>
      <c r="G10" s="207">
        <f>$I$10*('4.Personnel'!H6+'4.Personnel'!H16+'4.Personnel'!H26+'4.Personnel'!H36+'4.Personnel'!H46+'4.Personnel'!H56+'4.Personnel'!H66)</f>
        <v>20000</v>
      </c>
      <c r="I10" s="147">
        <v>2000</v>
      </c>
    </row>
    <row r="11" spans="1:9" ht="15" customHeight="1" thickTop="1" x14ac:dyDescent="0.2"/>
  </sheetData>
  <pageMargins left="0.7" right="0.7" top="0.75" bottom="0.75" header="0.3" footer="0.3"/>
  <pageSetup paperSize="9" orientation="portrait" verticalDpi="0"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sheetPr>
  <dimension ref="A1:AR31"/>
  <sheetViews>
    <sheetView showGridLines="0" tabSelected="1" zoomScaleNormal="100" workbookViewId="0">
      <pane xSplit="1" ySplit="6" topLeftCell="B7" activePane="bottomRight" state="frozen"/>
      <selection pane="topRight" activeCell="C1" sqref="C1"/>
      <selection pane="bottomLeft" activeCell="A7" sqref="A7"/>
      <selection pane="bottomRight" activeCell="L46" sqref="L46"/>
    </sheetView>
  </sheetViews>
  <sheetFormatPr defaultRowHeight="11.4" x14ac:dyDescent="0.2"/>
  <cols>
    <col min="1" max="1" width="41.375" customWidth="1"/>
    <col min="2" max="2" width="9" customWidth="1"/>
    <col min="3" max="3" width="11" bestFit="1" customWidth="1"/>
    <col min="4" max="6" width="10.625" customWidth="1"/>
    <col min="7" max="9" width="10.625" bestFit="1" customWidth="1"/>
  </cols>
  <sheetData>
    <row r="1" spans="1:44" ht="15" x14ac:dyDescent="0.25">
      <c r="A1" s="27" t="s">
        <v>352</v>
      </c>
      <c r="B1" s="16"/>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row>
    <row r="2" spans="1:44" ht="15.6" x14ac:dyDescent="0.3">
      <c r="A2" s="28" t="s">
        <v>10</v>
      </c>
      <c r="B2" s="15"/>
      <c r="C2" s="14"/>
      <c r="D2" s="13" t="s">
        <v>22</v>
      </c>
      <c r="E2" s="12">
        <v>2019</v>
      </c>
      <c r="F2" s="12">
        <f t="shared" ref="F2:V2" si="0">+E2+1</f>
        <v>2020</v>
      </c>
      <c r="G2" s="12">
        <f t="shared" si="0"/>
        <v>2021</v>
      </c>
      <c r="H2" s="12">
        <f t="shared" si="0"/>
        <v>2022</v>
      </c>
      <c r="I2" s="12">
        <f t="shared" si="0"/>
        <v>2023</v>
      </c>
      <c r="J2" s="12">
        <f t="shared" si="0"/>
        <v>2024</v>
      </c>
      <c r="K2" s="12">
        <f t="shared" si="0"/>
        <v>2025</v>
      </c>
      <c r="L2" s="12">
        <f t="shared" si="0"/>
        <v>2026</v>
      </c>
      <c r="M2" s="12">
        <f t="shared" si="0"/>
        <v>2027</v>
      </c>
      <c r="N2" s="12">
        <f t="shared" si="0"/>
        <v>2028</v>
      </c>
      <c r="O2" s="12">
        <f t="shared" si="0"/>
        <v>2029</v>
      </c>
      <c r="P2" s="12">
        <f t="shared" si="0"/>
        <v>2030</v>
      </c>
      <c r="Q2" s="12">
        <f t="shared" si="0"/>
        <v>2031</v>
      </c>
      <c r="R2" s="12">
        <f t="shared" si="0"/>
        <v>2032</v>
      </c>
      <c r="S2" s="12">
        <f t="shared" si="0"/>
        <v>2033</v>
      </c>
      <c r="T2" s="12">
        <f t="shared" si="0"/>
        <v>2034</v>
      </c>
      <c r="U2" s="12">
        <f t="shared" si="0"/>
        <v>2035</v>
      </c>
      <c r="V2" s="12">
        <f t="shared" si="0"/>
        <v>2036</v>
      </c>
      <c r="W2" s="11"/>
      <c r="X2" s="11"/>
      <c r="Y2" s="11"/>
      <c r="Z2" s="11"/>
      <c r="AA2" s="11"/>
      <c r="AB2" s="11"/>
      <c r="AC2" s="11"/>
      <c r="AD2" s="9"/>
      <c r="AE2" s="9"/>
      <c r="AF2" s="9"/>
      <c r="AG2" s="9"/>
      <c r="AH2" s="9"/>
      <c r="AI2" s="9"/>
      <c r="AJ2" s="9"/>
      <c r="AK2" s="9"/>
      <c r="AL2" s="9"/>
      <c r="AM2" s="9"/>
      <c r="AN2" s="9"/>
      <c r="AO2" s="9"/>
      <c r="AP2" s="9"/>
      <c r="AQ2" s="9"/>
      <c r="AR2" s="9"/>
    </row>
    <row r="3" spans="1:44" x14ac:dyDescent="0.2">
      <c r="A3" s="29" t="str">
        <f>+A2</f>
        <v>Template Sheet</v>
      </c>
      <c r="D3" s="8" t="s">
        <v>26</v>
      </c>
      <c r="E3" s="7" t="s">
        <v>9</v>
      </c>
      <c r="F3" s="7" t="s">
        <v>9</v>
      </c>
      <c r="G3" s="7" t="s">
        <v>9</v>
      </c>
      <c r="H3" s="7" t="s">
        <v>9</v>
      </c>
      <c r="I3" s="7" t="s">
        <v>9</v>
      </c>
      <c r="J3" s="7" t="s">
        <v>9</v>
      </c>
      <c r="K3" s="7" t="s">
        <v>9</v>
      </c>
      <c r="L3" s="7" t="s">
        <v>9</v>
      </c>
      <c r="M3" s="7" t="s">
        <v>9</v>
      </c>
      <c r="N3" s="7" t="s">
        <v>9</v>
      </c>
      <c r="O3" s="7" t="s">
        <v>9</v>
      </c>
      <c r="P3" s="7" t="s">
        <v>9</v>
      </c>
      <c r="Q3" s="7" t="s">
        <v>9</v>
      </c>
      <c r="R3" s="7" t="s">
        <v>9</v>
      </c>
      <c r="S3" s="7" t="s">
        <v>9</v>
      </c>
      <c r="T3" s="7" t="s">
        <v>9</v>
      </c>
      <c r="U3" s="7" t="s">
        <v>9</v>
      </c>
      <c r="V3" s="7" t="s">
        <v>9</v>
      </c>
      <c r="W3" s="7"/>
      <c r="X3" s="7"/>
      <c r="Y3" s="7"/>
      <c r="Z3" s="7"/>
      <c r="AA3" s="7"/>
      <c r="AB3" s="7"/>
      <c r="AC3" s="7"/>
      <c r="AD3" s="9"/>
      <c r="AE3" s="9"/>
      <c r="AF3" s="9"/>
      <c r="AG3" s="9"/>
      <c r="AH3" s="9"/>
      <c r="AI3" s="9"/>
      <c r="AJ3" s="9"/>
      <c r="AK3" s="9"/>
      <c r="AL3" s="9"/>
      <c r="AM3" s="9"/>
      <c r="AN3" s="9"/>
      <c r="AO3" s="9"/>
      <c r="AP3" s="9"/>
      <c r="AQ3" s="9"/>
      <c r="AR3" s="9"/>
    </row>
    <row r="4" spans="1:44" x14ac:dyDescent="0.2">
      <c r="A4" s="30"/>
      <c r="D4" s="8" t="s">
        <v>23</v>
      </c>
      <c r="E4" s="7" t="s">
        <v>8</v>
      </c>
      <c r="F4" s="7" t="s">
        <v>8</v>
      </c>
      <c r="G4" s="7" t="s">
        <v>8</v>
      </c>
      <c r="H4" s="7" t="s">
        <v>8</v>
      </c>
      <c r="I4" s="7" t="s">
        <v>7</v>
      </c>
      <c r="J4" s="7" t="s">
        <v>7</v>
      </c>
      <c r="K4" s="7" t="s">
        <v>7</v>
      </c>
      <c r="L4" s="7" t="s">
        <v>7</v>
      </c>
      <c r="M4" s="7" t="s">
        <v>7</v>
      </c>
      <c r="N4" s="7" t="s">
        <v>7</v>
      </c>
      <c r="O4" s="7" t="s">
        <v>7</v>
      </c>
      <c r="P4" s="7" t="s">
        <v>7</v>
      </c>
      <c r="Q4" s="7" t="s">
        <v>7</v>
      </c>
      <c r="R4" s="7" t="s">
        <v>7</v>
      </c>
      <c r="S4" s="7" t="s">
        <v>7</v>
      </c>
      <c r="T4" s="7" t="s">
        <v>7</v>
      </c>
      <c r="U4" s="7" t="s">
        <v>7</v>
      </c>
      <c r="V4" s="7" t="s">
        <v>7</v>
      </c>
      <c r="W4" s="7"/>
      <c r="X4" s="7"/>
      <c r="Y4" s="7"/>
      <c r="Z4" s="7"/>
      <c r="AA4" s="7"/>
      <c r="AB4" s="7"/>
      <c r="AC4" s="7"/>
    </row>
    <row r="5" spans="1:44" x14ac:dyDescent="0.2">
      <c r="A5" s="31"/>
      <c r="D5" s="8" t="s">
        <v>24</v>
      </c>
      <c r="E5" s="10">
        <v>43101</v>
      </c>
      <c r="F5" s="10">
        <v>43466</v>
      </c>
      <c r="G5" s="10">
        <v>43831</v>
      </c>
      <c r="H5" s="10">
        <v>44197</v>
      </c>
      <c r="I5" s="10">
        <v>44562</v>
      </c>
      <c r="J5" s="10">
        <v>44927</v>
      </c>
      <c r="K5" s="10">
        <v>45292</v>
      </c>
      <c r="L5" s="10">
        <v>45658</v>
      </c>
      <c r="M5" s="10">
        <v>46023</v>
      </c>
      <c r="N5" s="10">
        <v>46388</v>
      </c>
      <c r="O5" s="10">
        <v>46753</v>
      </c>
      <c r="P5" s="10">
        <v>47119</v>
      </c>
      <c r="Q5" s="10">
        <v>47484</v>
      </c>
      <c r="R5" s="10">
        <v>47849</v>
      </c>
      <c r="S5" s="10">
        <v>48214</v>
      </c>
      <c r="T5" s="10">
        <v>48580</v>
      </c>
      <c r="U5" s="10">
        <v>48945</v>
      </c>
      <c r="V5" s="10">
        <v>49310</v>
      </c>
      <c r="W5" s="10"/>
      <c r="X5" s="10"/>
      <c r="Y5" s="10"/>
      <c r="Z5" s="10"/>
      <c r="AA5" s="10"/>
      <c r="AB5" s="10"/>
      <c r="AC5" s="10"/>
    </row>
    <row r="6" spans="1:44" x14ac:dyDescent="0.2">
      <c r="A6" s="32" t="s">
        <v>351</v>
      </c>
      <c r="D6" s="8" t="s">
        <v>25</v>
      </c>
      <c r="E6" s="10">
        <v>43465</v>
      </c>
      <c r="F6" s="10">
        <v>43830</v>
      </c>
      <c r="G6" s="10">
        <v>44196</v>
      </c>
      <c r="H6" s="10">
        <v>44561</v>
      </c>
      <c r="I6" s="10">
        <v>44926</v>
      </c>
      <c r="J6" s="10">
        <v>45291</v>
      </c>
      <c r="K6" s="10">
        <v>45657</v>
      </c>
      <c r="L6" s="10">
        <v>46022</v>
      </c>
      <c r="M6" s="10">
        <v>46387</v>
      </c>
      <c r="N6" s="10">
        <v>46752</v>
      </c>
      <c r="O6" s="10">
        <v>47118</v>
      </c>
      <c r="P6" s="10">
        <v>47483</v>
      </c>
      <c r="Q6" s="10">
        <v>47848</v>
      </c>
      <c r="R6" s="10">
        <v>48213</v>
      </c>
      <c r="S6" s="10">
        <v>48579</v>
      </c>
      <c r="T6" s="10">
        <v>48944</v>
      </c>
      <c r="U6" s="10">
        <v>49309</v>
      </c>
      <c r="V6" s="10">
        <v>49674</v>
      </c>
      <c r="W6" s="10"/>
      <c r="X6" s="10"/>
      <c r="Y6" s="10"/>
      <c r="Z6" s="10"/>
      <c r="AA6" s="10"/>
      <c r="AB6" s="10"/>
      <c r="AC6" s="10"/>
      <c r="AD6" s="9"/>
      <c r="AE6" s="9"/>
      <c r="AF6" s="9"/>
      <c r="AG6" s="9"/>
      <c r="AH6" s="9"/>
      <c r="AI6" s="9"/>
      <c r="AJ6" s="9"/>
      <c r="AK6" s="9"/>
      <c r="AL6" s="9"/>
      <c r="AM6" s="9"/>
      <c r="AN6" s="9"/>
      <c r="AO6" s="9"/>
      <c r="AP6" s="9"/>
      <c r="AQ6" s="9"/>
      <c r="AR6" s="9"/>
    </row>
    <row r="7" spans="1:44" x14ac:dyDescent="0.2">
      <c r="A7" s="32" t="s">
        <v>350</v>
      </c>
      <c r="D7" s="8"/>
      <c r="E7" s="7"/>
      <c r="F7" s="7"/>
      <c r="G7" s="7"/>
      <c r="H7" s="7"/>
      <c r="I7" s="7"/>
      <c r="J7" s="7"/>
      <c r="K7" s="7"/>
      <c r="L7" s="7"/>
      <c r="M7" s="7"/>
      <c r="N7" s="7"/>
      <c r="O7" s="7"/>
      <c r="P7" s="7"/>
      <c r="Q7" s="7"/>
      <c r="R7" s="7"/>
      <c r="S7" s="7"/>
      <c r="T7" s="7"/>
      <c r="U7" s="7"/>
      <c r="V7" s="7"/>
      <c r="W7" s="7"/>
      <c r="X7" s="7"/>
      <c r="Y7" s="7"/>
      <c r="Z7" s="7"/>
      <c r="AA7" s="7"/>
      <c r="AB7" s="7"/>
      <c r="AC7" s="7"/>
      <c r="AD7" s="9"/>
      <c r="AE7" s="9"/>
      <c r="AF7" s="9"/>
      <c r="AG7" s="9"/>
      <c r="AH7" s="9"/>
      <c r="AI7" s="9"/>
      <c r="AJ7" s="9"/>
      <c r="AK7" s="9"/>
      <c r="AL7" s="9"/>
      <c r="AM7" s="9"/>
      <c r="AN7" s="9"/>
      <c r="AO7" s="9"/>
      <c r="AP7" s="9"/>
      <c r="AQ7" s="9"/>
      <c r="AR7" s="9"/>
    </row>
    <row r="8" spans="1:44" x14ac:dyDescent="0.2">
      <c r="D8" s="8"/>
      <c r="E8" s="7"/>
      <c r="F8" s="7"/>
      <c r="G8" s="7"/>
      <c r="H8" s="7"/>
      <c r="I8" s="7"/>
      <c r="J8" s="7"/>
      <c r="K8" s="7"/>
      <c r="L8" s="7"/>
      <c r="M8" s="7"/>
      <c r="N8" s="7"/>
      <c r="O8" s="7"/>
      <c r="P8" s="7"/>
      <c r="Q8" s="7"/>
      <c r="R8" s="7"/>
      <c r="S8" s="7"/>
      <c r="T8" s="7"/>
      <c r="U8" s="7"/>
      <c r="V8" s="7"/>
      <c r="W8" s="7"/>
      <c r="X8" s="7"/>
      <c r="Y8" s="7"/>
      <c r="Z8" s="7"/>
      <c r="AA8" s="7"/>
      <c r="AB8" s="7"/>
      <c r="AC8" s="7"/>
      <c r="AD8" s="9"/>
      <c r="AE8" s="9"/>
      <c r="AF8" s="9"/>
      <c r="AG8" s="9"/>
      <c r="AH8" s="9"/>
      <c r="AI8" s="9"/>
      <c r="AJ8" s="9"/>
      <c r="AK8" s="9"/>
      <c r="AL8" s="9"/>
      <c r="AM8" s="9"/>
      <c r="AN8" s="9"/>
      <c r="AO8" s="9"/>
      <c r="AP8" s="9"/>
      <c r="AQ8" s="9"/>
      <c r="AR8" s="9"/>
    </row>
    <row r="9" spans="1:44" x14ac:dyDescent="0.2">
      <c r="D9" s="8"/>
      <c r="E9" s="7"/>
      <c r="F9" s="7"/>
      <c r="G9" s="7"/>
      <c r="H9" s="7"/>
      <c r="I9" s="7"/>
      <c r="J9" s="7"/>
      <c r="K9" s="7"/>
      <c r="L9" s="7"/>
      <c r="M9" s="7"/>
      <c r="N9" s="7"/>
      <c r="O9" s="7"/>
      <c r="P9" s="7"/>
      <c r="Q9" s="7"/>
      <c r="R9" s="7"/>
      <c r="S9" s="7"/>
      <c r="T9" s="7"/>
      <c r="U9" s="7"/>
      <c r="V9" s="7"/>
      <c r="W9" s="7"/>
      <c r="X9" s="7"/>
      <c r="Y9" s="7"/>
      <c r="Z9" s="7"/>
      <c r="AA9" s="7"/>
      <c r="AB9" s="7"/>
      <c r="AC9" s="7"/>
    </row>
    <row r="11" spans="1:44" x14ac:dyDescent="0.2">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 x14ac:dyDescent="0.2">
      <c r="A12" s="26" t="s">
        <v>6</v>
      </c>
      <c r="B12" s="33"/>
      <c r="C12" s="33"/>
      <c r="D12" s="33"/>
      <c r="E12" s="33"/>
      <c r="F12" s="33"/>
      <c r="G12" s="33"/>
      <c r="H12" s="33"/>
      <c r="I12" s="33"/>
      <c r="J12" s="33"/>
      <c r="K12" s="33"/>
      <c r="L12" s="33"/>
      <c r="M12" s="33"/>
      <c r="N12" s="33"/>
      <c r="O12" s="33"/>
      <c r="P12" s="33"/>
      <c r="Q12" s="33"/>
      <c r="R12" s="33"/>
      <c r="S12" s="33"/>
      <c r="T12" s="33"/>
      <c r="U12" s="33"/>
      <c r="V12" s="33"/>
    </row>
    <row r="13" spans="1:44" ht="12" x14ac:dyDescent="0.25">
      <c r="D13" s="6"/>
      <c r="E13" s="6"/>
      <c r="F13" s="6"/>
      <c r="G13" s="5"/>
      <c r="H13" s="5"/>
      <c r="I13" s="5"/>
      <c r="J13" s="5"/>
      <c r="K13" s="5"/>
      <c r="L13" s="5"/>
      <c r="M13" s="5"/>
      <c r="N13" s="5"/>
      <c r="O13" s="5"/>
      <c r="P13" s="5"/>
      <c r="Q13" s="5"/>
      <c r="R13" s="5"/>
      <c r="S13" s="5"/>
      <c r="T13" s="1"/>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2" x14ac:dyDescent="0.25">
      <c r="A14" s="4"/>
      <c r="D14" s="2"/>
      <c r="E14" s="2"/>
      <c r="F14" s="2"/>
      <c r="T14" s="1"/>
    </row>
    <row r="15" spans="1:44" ht="12" x14ac:dyDescent="0.25">
      <c r="A15" t="s">
        <v>5</v>
      </c>
      <c r="T15" s="1"/>
    </row>
    <row r="16" spans="1:44" ht="12" x14ac:dyDescent="0.25">
      <c r="A16" t="s">
        <v>4</v>
      </c>
      <c r="T16" s="1"/>
    </row>
    <row r="17" spans="1:20" ht="12" x14ac:dyDescent="0.25">
      <c r="A17" s="3" t="s">
        <v>3</v>
      </c>
      <c r="T17" s="1"/>
    </row>
    <row r="18" spans="1:20" ht="12" x14ac:dyDescent="0.25">
      <c r="T18" s="1"/>
    </row>
    <row r="19" spans="1:20" ht="12" x14ac:dyDescent="0.25">
      <c r="A19" t="s">
        <v>2</v>
      </c>
      <c r="T19" s="1"/>
    </row>
    <row r="20" spans="1:20" ht="12" x14ac:dyDescent="0.25">
      <c r="A20" t="s">
        <v>1</v>
      </c>
      <c r="T20" s="1"/>
    </row>
    <row r="21" spans="1:20" ht="12" x14ac:dyDescent="0.25">
      <c r="A21" t="s">
        <v>0</v>
      </c>
      <c r="T21" s="1"/>
    </row>
    <row r="22" spans="1:20" ht="12" x14ac:dyDescent="0.25">
      <c r="D22" s="2"/>
      <c r="E22" s="2"/>
      <c r="F22" s="2"/>
      <c r="T22" s="1"/>
    </row>
    <row r="23" spans="1:20" ht="12" x14ac:dyDescent="0.25">
      <c r="T23" s="1"/>
    </row>
    <row r="24" spans="1:20" ht="12" x14ac:dyDescent="0.25">
      <c r="T24" s="1"/>
    </row>
    <row r="25" spans="1:20" ht="12" x14ac:dyDescent="0.25">
      <c r="T25" s="1"/>
    </row>
    <row r="26" spans="1:20" ht="12" x14ac:dyDescent="0.25">
      <c r="T26" s="1"/>
    </row>
    <row r="27" spans="1:20" ht="12" x14ac:dyDescent="0.25">
      <c r="T27" s="1"/>
    </row>
    <row r="28" spans="1:20" ht="12" x14ac:dyDescent="0.25">
      <c r="T28" s="1"/>
    </row>
    <row r="29" spans="1:20" ht="12" x14ac:dyDescent="0.25">
      <c r="T29" s="1"/>
    </row>
    <row r="30" spans="1:20" ht="12" x14ac:dyDescent="0.25">
      <c r="T30" s="1"/>
    </row>
    <row r="31" spans="1:20" ht="12" x14ac:dyDescent="0.25">
      <c r="T31" s="1"/>
    </row>
  </sheetData>
  <pageMargins left="0.75" right="0.75" top="1" bottom="1" header="0.5" footer="0.5"/>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3:I41"/>
  <sheetViews>
    <sheetView showGridLines="0" topLeftCell="A5" workbookViewId="0">
      <selection activeCell="B6" sqref="B6:I40"/>
    </sheetView>
  </sheetViews>
  <sheetFormatPr defaultRowHeight="11.4" x14ac:dyDescent="0.2"/>
  <cols>
    <col min="2" max="2" width="35.875" customWidth="1"/>
    <col min="3" max="9" width="15.75" customWidth="1"/>
  </cols>
  <sheetData>
    <row r="3" spans="2:9" ht="14.4" x14ac:dyDescent="0.3">
      <c r="B3" s="250" t="s">
        <v>261</v>
      </c>
    </row>
    <row r="5" spans="2:9" x14ac:dyDescent="0.2">
      <c r="B5" s="251"/>
    </row>
    <row r="6" spans="2:9" s="233" customFormat="1" ht="20.100000000000001" customHeight="1" x14ac:dyDescent="0.2">
      <c r="B6" s="256" t="s">
        <v>268</v>
      </c>
      <c r="C6" s="258"/>
      <c r="D6" s="265"/>
      <c r="E6" s="265"/>
      <c r="F6" s="265"/>
      <c r="G6" s="265"/>
      <c r="H6" s="265"/>
      <c r="I6" s="265"/>
    </row>
    <row r="7" spans="2:9" ht="5.0999999999999996" customHeight="1" x14ac:dyDescent="0.2">
      <c r="B7" s="253"/>
      <c r="C7" s="62"/>
      <c r="D7" s="266"/>
      <c r="E7" s="266"/>
      <c r="F7" s="266"/>
      <c r="G7" s="266"/>
      <c r="H7" s="266"/>
      <c r="I7" s="266"/>
    </row>
    <row r="8" spans="2:9" ht="3" customHeight="1" x14ac:dyDescent="0.2">
      <c r="B8" s="259"/>
      <c r="C8" s="259"/>
      <c r="D8" s="266"/>
      <c r="E8" s="266"/>
      <c r="F8" s="266"/>
      <c r="G8" s="266"/>
      <c r="H8" s="266"/>
      <c r="I8" s="266"/>
    </row>
    <row r="9" spans="2:9" ht="3" customHeight="1" x14ac:dyDescent="0.2">
      <c r="B9" s="62"/>
      <c r="C9" s="62"/>
      <c r="D9" s="266"/>
      <c r="E9" s="266"/>
      <c r="F9" s="266"/>
      <c r="G9" s="266"/>
      <c r="H9" s="266"/>
      <c r="I9" s="266"/>
    </row>
    <row r="10" spans="2:9" s="233" customFormat="1" ht="20.100000000000001" customHeight="1" x14ac:dyDescent="0.2">
      <c r="B10" s="254" t="s">
        <v>264</v>
      </c>
      <c r="C10" s="260">
        <v>0.63</v>
      </c>
      <c r="D10" s="267"/>
      <c r="E10" s="267"/>
      <c r="F10" s="267"/>
      <c r="G10" s="267"/>
      <c r="H10" s="267"/>
      <c r="I10" s="267"/>
    </row>
    <row r="11" spans="2:9" s="233" customFormat="1" ht="20.100000000000001" customHeight="1" x14ac:dyDescent="0.2">
      <c r="B11" s="254" t="s">
        <v>265</v>
      </c>
      <c r="C11" s="260">
        <v>1.65</v>
      </c>
      <c r="D11" s="267"/>
      <c r="E11" s="267"/>
      <c r="F11" s="267"/>
      <c r="G11" s="267"/>
      <c r="H11" s="267"/>
      <c r="I11" s="267"/>
    </row>
    <row r="12" spans="2:9" s="233" customFormat="1" ht="20.100000000000001" customHeight="1" x14ac:dyDescent="0.2">
      <c r="B12" s="254" t="s">
        <v>266</v>
      </c>
      <c r="C12" s="260">
        <v>0.82</v>
      </c>
      <c r="D12" s="267"/>
      <c r="E12" s="267"/>
      <c r="F12" s="267"/>
      <c r="G12" s="267"/>
      <c r="H12" s="267"/>
      <c r="I12" s="267"/>
    </row>
    <row r="13" spans="2:9" s="233" customFormat="1" ht="20.100000000000001" customHeight="1" x14ac:dyDescent="0.2">
      <c r="B13" s="254" t="s">
        <v>267</v>
      </c>
      <c r="C13" s="260">
        <v>1.3</v>
      </c>
      <c r="D13" s="267"/>
      <c r="E13" s="267"/>
      <c r="F13" s="267"/>
      <c r="G13" s="267"/>
      <c r="H13" s="267"/>
      <c r="I13" s="267"/>
    </row>
    <row r="14" spans="2:9" ht="3" customHeight="1" x14ac:dyDescent="0.2">
      <c r="B14" s="259"/>
      <c r="C14" s="259"/>
      <c r="D14" s="266"/>
      <c r="E14" s="266"/>
      <c r="F14" s="266"/>
      <c r="G14" s="266"/>
      <c r="H14" s="266"/>
      <c r="I14" s="266"/>
    </row>
    <row r="15" spans="2:9" ht="3" customHeight="1" x14ac:dyDescent="0.2">
      <c r="B15" s="62"/>
      <c r="C15" s="62"/>
      <c r="D15" s="266"/>
      <c r="E15" s="266"/>
      <c r="F15" s="266"/>
      <c r="G15" s="266"/>
      <c r="H15" s="266"/>
      <c r="I15" s="266"/>
    </row>
    <row r="16" spans="2:9" ht="20.100000000000001" customHeight="1" x14ac:dyDescent="0.3">
      <c r="B16" s="255" t="s">
        <v>269</v>
      </c>
      <c r="C16" s="269">
        <f>AVERAGE(C10:C13)</f>
        <v>1.0999999999999999</v>
      </c>
      <c r="D16" s="268"/>
      <c r="E16" s="268"/>
      <c r="F16" s="268"/>
      <c r="G16" s="268"/>
      <c r="H16" s="268"/>
      <c r="I16" s="268"/>
    </row>
    <row r="17" spans="1:9" x14ac:dyDescent="0.2">
      <c r="B17" s="62"/>
      <c r="C17" s="62"/>
      <c r="D17" s="266"/>
      <c r="E17" s="266"/>
      <c r="F17" s="266"/>
      <c r="G17" s="266"/>
      <c r="H17" s="266"/>
      <c r="I17" s="266"/>
    </row>
    <row r="18" spans="1:9" x14ac:dyDescent="0.2">
      <c r="B18" s="62"/>
      <c r="C18" s="62"/>
      <c r="D18" s="266"/>
      <c r="E18" s="266"/>
      <c r="F18" s="266"/>
      <c r="G18" s="266"/>
      <c r="H18" s="266"/>
      <c r="I18" s="266"/>
    </row>
    <row r="19" spans="1:9" x14ac:dyDescent="0.2">
      <c r="B19" s="62"/>
      <c r="C19" s="62"/>
      <c r="D19" s="266"/>
      <c r="E19" s="266"/>
      <c r="F19" s="266"/>
      <c r="G19" s="266"/>
      <c r="H19" s="266"/>
      <c r="I19" s="266"/>
    </row>
    <row r="20" spans="1:9" s="233" customFormat="1" ht="20.100000000000001" customHeight="1" x14ac:dyDescent="0.2">
      <c r="B20" s="254" t="s">
        <v>348</v>
      </c>
      <c r="C20" s="263">
        <v>5.7000000000000002E-3</v>
      </c>
      <c r="D20" s="267"/>
      <c r="E20" s="267"/>
      <c r="F20" s="267"/>
      <c r="G20" s="267"/>
      <c r="H20" s="267"/>
      <c r="I20" s="267"/>
    </row>
    <row r="21" spans="1:9" s="233" customFormat="1" ht="20.100000000000001" customHeight="1" x14ac:dyDescent="0.2">
      <c r="B21" s="254" t="s">
        <v>349</v>
      </c>
      <c r="C21" s="263">
        <v>6.6000000000000003E-2</v>
      </c>
      <c r="D21" s="267"/>
      <c r="E21" s="267"/>
      <c r="F21" s="267"/>
      <c r="G21" s="267"/>
      <c r="H21" s="267"/>
      <c r="I21" s="267"/>
    </row>
    <row r="22" spans="1:9" ht="3" customHeight="1" x14ac:dyDescent="0.2">
      <c r="B22" s="259"/>
      <c r="C22" s="259"/>
      <c r="D22" s="266"/>
      <c r="E22" s="266"/>
      <c r="F22" s="266"/>
      <c r="G22" s="266"/>
      <c r="H22" s="266"/>
      <c r="I22" s="266"/>
    </row>
    <row r="23" spans="1:9" ht="3" customHeight="1" x14ac:dyDescent="0.2">
      <c r="B23" s="62"/>
      <c r="C23" s="62"/>
      <c r="D23" s="266"/>
      <c r="E23" s="266"/>
      <c r="F23" s="266"/>
      <c r="G23" s="266"/>
      <c r="H23" s="266"/>
      <c r="I23" s="266"/>
    </row>
    <row r="24" spans="1:9" ht="20.100000000000001" customHeight="1" x14ac:dyDescent="0.3">
      <c r="B24" s="255" t="s">
        <v>262</v>
      </c>
      <c r="C24" s="270">
        <f>C20+C16*(C21-C20)</f>
        <v>7.2029999999999997E-2</v>
      </c>
      <c r="D24" s="268"/>
      <c r="E24" s="268"/>
      <c r="F24" s="268"/>
      <c r="G24" s="268"/>
      <c r="H24" s="268"/>
      <c r="I24" s="268"/>
    </row>
    <row r="25" spans="1:9" x14ac:dyDescent="0.2">
      <c r="B25" s="62"/>
      <c r="C25" s="264"/>
      <c r="D25" s="266"/>
      <c r="E25" s="266"/>
      <c r="F25" s="266"/>
      <c r="G25" s="266"/>
      <c r="H25" s="266"/>
      <c r="I25" s="266"/>
    </row>
    <row r="26" spans="1:9" ht="20.100000000000001" customHeight="1" x14ac:dyDescent="0.3">
      <c r="A26" s="257">
        <v>2.0499999999999998</v>
      </c>
      <c r="B26" s="255" t="s">
        <v>263</v>
      </c>
      <c r="C26" s="270">
        <f>C24*A26</f>
        <v>0.14766149999999997</v>
      </c>
      <c r="D26" s="268"/>
      <c r="E26" s="268"/>
      <c r="F26" s="268"/>
      <c r="G26" s="268"/>
      <c r="H26" s="268"/>
      <c r="I26" s="268"/>
    </row>
    <row r="27" spans="1:9" x14ac:dyDescent="0.2">
      <c r="B27" s="62"/>
      <c r="C27" s="62"/>
      <c r="D27" s="266"/>
      <c r="E27" s="266"/>
      <c r="F27" s="266"/>
      <c r="G27" s="266"/>
      <c r="H27" s="266"/>
      <c r="I27" s="266"/>
    </row>
    <row r="28" spans="1:9" x14ac:dyDescent="0.2">
      <c r="B28" s="62"/>
      <c r="C28" s="62"/>
      <c r="D28" s="266"/>
      <c r="E28" s="266"/>
      <c r="F28" s="266"/>
      <c r="G28" s="266"/>
      <c r="H28" s="266"/>
      <c r="I28" s="266"/>
    </row>
    <row r="29" spans="1:9" x14ac:dyDescent="0.2">
      <c r="B29" s="62"/>
      <c r="C29" s="62"/>
      <c r="D29" s="266"/>
      <c r="E29" s="266"/>
      <c r="F29" s="266"/>
      <c r="G29" s="266"/>
      <c r="H29" s="266"/>
      <c r="I29" s="266"/>
    </row>
    <row r="30" spans="1:9" x14ac:dyDescent="0.2">
      <c r="B30" s="62"/>
      <c r="C30" s="62"/>
      <c r="D30" s="266"/>
      <c r="E30" s="266"/>
      <c r="F30" s="266"/>
      <c r="G30" s="266"/>
      <c r="H30" s="266"/>
      <c r="I30" s="266"/>
    </row>
    <row r="31" spans="1:9" s="233" customFormat="1" ht="20.100000000000001" customHeight="1" x14ac:dyDescent="0.2">
      <c r="B31" s="256" t="s">
        <v>270</v>
      </c>
      <c r="C31" s="258"/>
      <c r="D31" s="265"/>
      <c r="E31" s="265"/>
      <c r="F31" s="265"/>
      <c r="G31" s="265"/>
      <c r="H31" s="265"/>
      <c r="I31" s="265"/>
    </row>
    <row r="32" spans="1:9" s="233" customFormat="1" ht="5.0999999999999996" customHeight="1" x14ac:dyDescent="0.2">
      <c r="B32" s="258"/>
      <c r="C32" s="258"/>
      <c r="D32" s="265"/>
      <c r="E32" s="265"/>
      <c r="F32" s="265"/>
      <c r="G32" s="265"/>
      <c r="H32" s="265"/>
      <c r="I32" s="265"/>
    </row>
    <row r="33" spans="2:9" s="233" customFormat="1" ht="20.100000000000001" customHeight="1" x14ac:dyDescent="0.2">
      <c r="B33" s="258"/>
      <c r="C33" s="256">
        <v>2021</v>
      </c>
      <c r="D33" s="256">
        <f>C33+1</f>
        <v>2022</v>
      </c>
      <c r="E33" s="256">
        <f>D33+1</f>
        <v>2023</v>
      </c>
      <c r="F33" s="256">
        <f>E33+1</f>
        <v>2024</v>
      </c>
      <c r="G33" s="256">
        <f>F33+1</f>
        <v>2025</v>
      </c>
      <c r="H33" s="256">
        <f>G33+1</f>
        <v>2026</v>
      </c>
      <c r="I33" s="256" t="s">
        <v>347</v>
      </c>
    </row>
    <row r="34" spans="2:9" ht="3" customHeight="1" x14ac:dyDescent="0.2">
      <c r="B34" s="259"/>
      <c r="C34" s="259"/>
      <c r="D34" s="259"/>
      <c r="E34" s="259"/>
      <c r="F34" s="259"/>
      <c r="G34" s="259"/>
      <c r="H34" s="259"/>
      <c r="I34" s="259"/>
    </row>
    <row r="35" spans="2:9" ht="3" customHeight="1" x14ac:dyDescent="0.2">
      <c r="B35" s="62"/>
      <c r="C35" s="62"/>
      <c r="D35" s="62"/>
      <c r="E35" s="62"/>
      <c r="F35" s="62"/>
      <c r="G35" s="62"/>
      <c r="H35" s="62"/>
      <c r="I35" s="62"/>
    </row>
    <row r="36" spans="2:9" s="233" customFormat="1" ht="20.100000000000001" customHeight="1" x14ac:dyDescent="0.2">
      <c r="B36" s="254" t="s">
        <v>271</v>
      </c>
      <c r="C36" s="261" t="str">
        <f t="shared" ref="C36:H36" si="0">RIGHT(C33,1)</f>
        <v>1</v>
      </c>
      <c r="D36" s="261" t="str">
        <f t="shared" si="0"/>
        <v>2</v>
      </c>
      <c r="E36" s="261" t="str">
        <f t="shared" si="0"/>
        <v>3</v>
      </c>
      <c r="F36" s="261" t="str">
        <f t="shared" si="0"/>
        <v>4</v>
      </c>
      <c r="G36" s="261" t="str">
        <f t="shared" si="0"/>
        <v>5</v>
      </c>
      <c r="H36" s="261" t="str">
        <f t="shared" si="0"/>
        <v>6</v>
      </c>
      <c r="I36" s="261"/>
    </row>
    <row r="37" spans="2:9" s="233" customFormat="1" ht="20.100000000000001" customHeight="1" x14ac:dyDescent="0.2">
      <c r="B37" s="254" t="s">
        <v>272</v>
      </c>
      <c r="C37" s="261">
        <f ca="1">-' Cash Flow Statement'!B51</f>
        <v>-2002964.3969521311</v>
      </c>
      <c r="D37" s="261">
        <f ca="1">-' Cash Flow Statement'!C51</f>
        <v>511154.46315474971</v>
      </c>
      <c r="E37" s="261">
        <f ca="1">-' Cash Flow Statement'!D51</f>
        <v>313956.10087572067</v>
      </c>
      <c r="F37" s="261">
        <f ca="1">-' Cash Flow Statement'!E51</f>
        <v>1725152.6488810079</v>
      </c>
      <c r="G37" s="261">
        <f ca="1">-' Cash Flow Statement'!F51</f>
        <v>595366.90204874962</v>
      </c>
      <c r="H37" s="261">
        <f ca="1">-' Cash Flow Statement'!G51</f>
        <v>3959752.9383145147</v>
      </c>
      <c r="I37" s="261">
        <f ca="1">AVERAGE(C37:H37)/(C26)</f>
        <v>5759139.0402176743</v>
      </c>
    </row>
    <row r="38" spans="2:9" ht="3" customHeight="1" x14ac:dyDescent="0.2">
      <c r="B38" s="259"/>
      <c r="C38" s="259"/>
      <c r="D38" s="259"/>
      <c r="E38" s="259"/>
      <c r="F38" s="259"/>
      <c r="G38" s="259"/>
      <c r="H38" s="259"/>
      <c r="I38" s="259"/>
    </row>
    <row r="39" spans="2:9" ht="3" customHeight="1" x14ac:dyDescent="0.2">
      <c r="B39" s="62"/>
      <c r="C39" s="62"/>
      <c r="D39" s="62"/>
      <c r="E39" s="62"/>
      <c r="F39" s="62"/>
      <c r="G39" s="62"/>
      <c r="H39" s="62"/>
      <c r="I39" s="62"/>
    </row>
    <row r="40" spans="2:9" ht="20.100000000000001" customHeight="1" x14ac:dyDescent="0.3">
      <c r="B40" s="255" t="s">
        <v>273</v>
      </c>
      <c r="C40" s="271">
        <f ca="1">NPV(C26,C37:I37)</f>
        <v>4073068.6884902427</v>
      </c>
      <c r="D40" s="262"/>
      <c r="E40" s="262"/>
      <c r="F40" s="262"/>
      <c r="G40" s="262"/>
      <c r="H40" s="262"/>
      <c r="I40" s="262"/>
    </row>
    <row r="41" spans="2:9" ht="14.4" x14ac:dyDescent="0.3">
      <c r="C41" s="252"/>
      <c r="D41" s="252"/>
      <c r="E41" s="252"/>
      <c r="F41" s="252"/>
      <c r="G41" s="252"/>
      <c r="H41" s="252"/>
      <c r="I41" s="252"/>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1:AC63"/>
  <sheetViews>
    <sheetView showGridLines="0" topLeftCell="A2" zoomScaleNormal="100" workbookViewId="0">
      <selection activeCell="A59" sqref="A59:A62"/>
    </sheetView>
  </sheetViews>
  <sheetFormatPr defaultRowHeight="11.4" x14ac:dyDescent="0.2"/>
  <cols>
    <col min="1" max="1" width="41.375" customWidth="1"/>
    <col min="2" max="7" width="15.75" customWidth="1"/>
    <col min="8" max="8" width="9" customWidth="1"/>
  </cols>
  <sheetData>
    <row r="1" spans="1:29" ht="15" x14ac:dyDescent="0.25">
      <c r="A1" s="27"/>
      <c r="B1" s="36"/>
      <c r="C1" s="36"/>
      <c r="D1" s="36"/>
      <c r="E1" s="36"/>
      <c r="F1" s="36"/>
      <c r="G1" s="36"/>
      <c r="H1" s="1"/>
      <c r="I1" s="1"/>
      <c r="J1" s="1"/>
      <c r="K1" s="1"/>
      <c r="L1" s="1"/>
      <c r="M1" s="1"/>
      <c r="N1" s="1"/>
      <c r="O1" s="1"/>
      <c r="P1" s="1"/>
      <c r="Q1" s="1"/>
      <c r="R1" s="1"/>
      <c r="S1" s="1"/>
      <c r="T1" s="1"/>
      <c r="U1" s="1"/>
      <c r="V1" s="1"/>
      <c r="W1" s="1"/>
      <c r="X1" s="1"/>
      <c r="Y1" s="1"/>
      <c r="Z1" s="1"/>
      <c r="AA1" s="1"/>
      <c r="AB1" s="1"/>
      <c r="AC1" s="1"/>
    </row>
    <row r="2" spans="1:29" ht="15.6" x14ac:dyDescent="0.3">
      <c r="A2" s="28" t="s">
        <v>184</v>
      </c>
      <c r="B2" s="37">
        <v>2021</v>
      </c>
      <c r="C2" s="37">
        <f>+B2+1</f>
        <v>2022</v>
      </c>
      <c r="D2" s="37">
        <f>+C2+1</f>
        <v>2023</v>
      </c>
      <c r="E2" s="37">
        <f>+D2+1</f>
        <v>2024</v>
      </c>
      <c r="F2" s="37">
        <f>+E2+1</f>
        <v>2025</v>
      </c>
      <c r="G2" s="37">
        <f>+F2+1</f>
        <v>2026</v>
      </c>
      <c r="H2" s="11"/>
      <c r="I2" s="11"/>
      <c r="J2" s="11"/>
      <c r="K2" s="11"/>
      <c r="L2" s="11"/>
      <c r="M2" s="11"/>
      <c r="N2" s="11"/>
      <c r="O2" s="9"/>
      <c r="P2" s="9"/>
      <c r="Q2" s="9"/>
      <c r="R2" s="9"/>
      <c r="S2" s="9"/>
      <c r="T2" s="9"/>
      <c r="U2" s="9"/>
      <c r="V2" s="9"/>
      <c r="W2" s="9"/>
      <c r="X2" s="9"/>
      <c r="Y2" s="9"/>
      <c r="Z2" s="9"/>
      <c r="AA2" s="9"/>
      <c r="AB2" s="9"/>
      <c r="AC2" s="9"/>
    </row>
    <row r="3" spans="1:29" x14ac:dyDescent="0.2">
      <c r="A3" s="29" t="str">
        <f>+A2</f>
        <v>Cash Flow Statement</v>
      </c>
      <c r="B3" s="38"/>
      <c r="C3" s="38"/>
      <c r="D3" s="38"/>
      <c r="E3" s="38"/>
      <c r="F3" s="38"/>
      <c r="G3" s="38"/>
      <c r="H3" s="7"/>
      <c r="I3" s="7"/>
      <c r="J3" s="7"/>
      <c r="K3" s="7"/>
      <c r="L3" s="7"/>
      <c r="M3" s="7"/>
      <c r="N3" s="7"/>
      <c r="O3" s="9"/>
      <c r="P3" s="9"/>
      <c r="Q3" s="9"/>
      <c r="R3" s="9"/>
      <c r="S3" s="9"/>
      <c r="T3" s="9"/>
      <c r="U3" s="9"/>
      <c r="V3" s="9"/>
      <c r="W3" s="9"/>
      <c r="X3" s="9"/>
      <c r="Y3" s="9"/>
      <c r="Z3" s="9"/>
      <c r="AA3" s="9"/>
      <c r="AB3" s="9"/>
      <c r="AC3" s="9"/>
    </row>
    <row r="4" spans="1:29" x14ac:dyDescent="0.2">
      <c r="A4" s="30"/>
      <c r="B4" s="38"/>
      <c r="C4" s="38"/>
      <c r="D4" s="38"/>
      <c r="E4" s="38"/>
      <c r="F4" s="38"/>
      <c r="G4" s="38"/>
      <c r="H4" s="7"/>
      <c r="I4" s="7"/>
      <c r="J4" s="7"/>
      <c r="K4" s="7"/>
      <c r="L4" s="7"/>
      <c r="M4" s="7"/>
      <c r="N4" s="7"/>
    </row>
    <row r="5" spans="1:29" x14ac:dyDescent="0.2">
      <c r="A5" s="31"/>
      <c r="B5" s="39"/>
      <c r="C5" s="39"/>
      <c r="D5" s="39"/>
      <c r="E5" s="39"/>
      <c r="F5" s="39"/>
      <c r="G5" s="39"/>
      <c r="H5" s="10"/>
      <c r="I5" s="10"/>
      <c r="J5" s="10"/>
      <c r="K5" s="10"/>
      <c r="L5" s="10"/>
      <c r="M5" s="10"/>
      <c r="N5" s="10"/>
    </row>
    <row r="6" spans="1:29" x14ac:dyDescent="0.2">
      <c r="A6" s="32" t="s">
        <v>351</v>
      </c>
      <c r="B6" s="39"/>
      <c r="C6" s="39"/>
      <c r="D6" s="39"/>
      <c r="E6" s="39"/>
      <c r="F6" s="39"/>
      <c r="G6" s="39"/>
      <c r="H6" s="10"/>
      <c r="I6" s="10"/>
      <c r="J6" s="10"/>
      <c r="K6" s="10"/>
      <c r="L6" s="10"/>
      <c r="M6" s="10"/>
      <c r="N6" s="10"/>
      <c r="O6" s="9"/>
      <c r="P6" s="9"/>
      <c r="Q6" s="9"/>
      <c r="R6" s="9"/>
      <c r="S6" s="9"/>
      <c r="T6" s="9"/>
      <c r="U6" s="9"/>
      <c r="V6" s="9"/>
      <c r="W6" s="9"/>
      <c r="X6" s="9"/>
      <c r="Y6" s="9"/>
      <c r="Z6" s="9"/>
      <c r="AA6" s="9"/>
      <c r="AB6" s="9"/>
      <c r="AC6" s="9"/>
    </row>
    <row r="7" spans="1:29" x14ac:dyDescent="0.2">
      <c r="A7" s="32" t="s">
        <v>350</v>
      </c>
      <c r="B7" s="38"/>
      <c r="C7" s="38"/>
      <c r="D7" s="38"/>
      <c r="E7" s="38"/>
      <c r="F7" s="38"/>
      <c r="G7" s="38"/>
      <c r="H7" s="7"/>
      <c r="I7" s="7"/>
      <c r="J7" s="7"/>
      <c r="K7" s="7"/>
      <c r="L7" s="7"/>
      <c r="M7" s="7"/>
      <c r="N7" s="7"/>
      <c r="O7" s="9"/>
      <c r="P7" s="9"/>
      <c r="Q7" s="9"/>
      <c r="R7" s="9"/>
      <c r="S7" s="9"/>
      <c r="T7" s="9"/>
      <c r="U7" s="9"/>
      <c r="V7" s="9"/>
      <c r="W7" s="9"/>
      <c r="X7" s="9"/>
      <c r="Y7" s="9"/>
      <c r="Z7" s="9"/>
      <c r="AA7" s="9"/>
      <c r="AB7" s="9"/>
      <c r="AC7" s="9"/>
    </row>
    <row r="8" spans="1:29" x14ac:dyDescent="0.2">
      <c r="B8" s="38"/>
      <c r="C8" s="38"/>
      <c r="D8" s="38"/>
      <c r="E8" s="38"/>
      <c r="F8" s="38"/>
      <c r="G8" s="38"/>
      <c r="H8" s="7"/>
      <c r="I8" s="7"/>
      <c r="J8" s="7"/>
      <c r="K8" s="7"/>
      <c r="L8" s="7"/>
      <c r="M8" s="7"/>
      <c r="N8" s="7"/>
      <c r="O8" s="9"/>
      <c r="P8" s="9"/>
      <c r="Q8" s="9"/>
      <c r="R8" s="9"/>
      <c r="S8" s="9"/>
      <c r="T8" s="9"/>
      <c r="U8" s="9"/>
      <c r="V8" s="9"/>
      <c r="W8" s="9"/>
      <c r="X8" s="9"/>
      <c r="Y8" s="9"/>
      <c r="Z8" s="9"/>
      <c r="AA8" s="9"/>
      <c r="AB8" s="9"/>
      <c r="AC8" s="9"/>
    </row>
    <row r="9" spans="1:29" x14ac:dyDescent="0.2">
      <c r="B9" s="38"/>
      <c r="C9" s="38"/>
      <c r="D9" s="38"/>
      <c r="E9" s="38"/>
      <c r="F9" s="38"/>
      <c r="G9" s="38"/>
      <c r="H9" s="7"/>
      <c r="I9" s="7"/>
      <c r="J9" s="7"/>
      <c r="K9" s="7"/>
      <c r="L9" s="7"/>
      <c r="M9" s="7"/>
      <c r="N9" s="7"/>
    </row>
    <row r="10" spans="1:29" x14ac:dyDescent="0.2">
      <c r="B10" s="40"/>
      <c r="C10" s="40"/>
      <c r="D10" s="40"/>
      <c r="E10" s="40"/>
      <c r="F10" s="40"/>
      <c r="G10" s="40"/>
    </row>
    <row r="11" spans="1:29" x14ac:dyDescent="0.2">
      <c r="B11" s="41"/>
      <c r="C11" s="41"/>
      <c r="D11" s="41"/>
      <c r="E11" s="41"/>
      <c r="F11" s="41"/>
      <c r="G11" s="41"/>
      <c r="H11" s="5"/>
      <c r="I11" s="5"/>
      <c r="J11" s="5"/>
      <c r="K11" s="5"/>
      <c r="L11" s="5"/>
      <c r="M11" s="5"/>
      <c r="N11" s="5"/>
      <c r="O11" s="5"/>
      <c r="P11" s="5"/>
      <c r="Q11" s="5"/>
      <c r="R11" s="5"/>
      <c r="S11" s="5"/>
      <c r="T11" s="5"/>
      <c r="U11" s="5"/>
      <c r="V11" s="5"/>
      <c r="W11" s="5"/>
      <c r="X11" s="5"/>
      <c r="Y11" s="5"/>
      <c r="Z11" s="5"/>
      <c r="AA11" s="5"/>
      <c r="AB11" s="5"/>
      <c r="AC11" s="5"/>
    </row>
    <row r="12" spans="1:29" ht="12" x14ac:dyDescent="0.25">
      <c r="A12" s="240" t="s">
        <v>288</v>
      </c>
      <c r="B12" s="240">
        <f t="shared" ref="B12:G12" si="0">B2</f>
        <v>2021</v>
      </c>
      <c r="C12" s="240">
        <f t="shared" si="0"/>
        <v>2022</v>
      </c>
      <c r="D12" s="240">
        <f t="shared" si="0"/>
        <v>2023</v>
      </c>
      <c r="E12" s="240">
        <f t="shared" si="0"/>
        <v>2024</v>
      </c>
      <c r="F12" s="240">
        <f t="shared" si="0"/>
        <v>2025</v>
      </c>
      <c r="G12" s="240">
        <f t="shared" si="0"/>
        <v>2026</v>
      </c>
    </row>
    <row r="13" spans="1:29" x14ac:dyDescent="0.2">
      <c r="A13" s="62"/>
      <c r="B13" s="272"/>
      <c r="C13" s="272"/>
      <c r="D13" s="272"/>
      <c r="E13" s="272"/>
      <c r="F13" s="272"/>
      <c r="G13" s="272"/>
      <c r="H13" s="5"/>
      <c r="I13" s="5"/>
      <c r="J13" s="5"/>
      <c r="K13" s="5"/>
      <c r="L13" s="5"/>
      <c r="M13" s="5"/>
      <c r="N13" s="5"/>
      <c r="O13" s="5"/>
      <c r="P13" s="5"/>
      <c r="Q13" s="5"/>
      <c r="R13" s="5"/>
      <c r="S13" s="5"/>
      <c r="T13" s="5"/>
      <c r="U13" s="5"/>
      <c r="V13" s="5"/>
      <c r="W13" s="5"/>
      <c r="X13" s="5"/>
      <c r="Y13" s="5"/>
      <c r="Z13" s="5"/>
      <c r="AA13" s="5"/>
      <c r="AB13" s="5"/>
      <c r="AC13" s="5"/>
    </row>
    <row r="14" spans="1:29" ht="3" customHeight="1" x14ac:dyDescent="0.25">
      <c r="A14" s="280"/>
      <c r="B14" s="273"/>
      <c r="C14" s="273"/>
      <c r="D14" s="273"/>
      <c r="E14" s="273"/>
      <c r="F14" s="273"/>
      <c r="G14" s="273"/>
    </row>
    <row r="15" spans="1:29" ht="3" customHeight="1" x14ac:dyDescent="0.25">
      <c r="A15" s="281"/>
      <c r="B15" s="274"/>
      <c r="C15" s="274"/>
      <c r="D15" s="274"/>
      <c r="E15" s="274"/>
      <c r="F15" s="274"/>
      <c r="G15" s="274"/>
    </row>
    <row r="16" spans="1:29" s="19" customFormat="1" ht="12" x14ac:dyDescent="0.25">
      <c r="A16" s="243" t="s">
        <v>20</v>
      </c>
      <c r="B16" s="275">
        <f ca="1">+'Profit &amp; Loss Account'!B65</f>
        <v>-1209821.2727853879</v>
      </c>
      <c r="C16" s="275">
        <f ca="1">+'Profit &amp; Loss Account'!C65</f>
        <v>-1432300.8266726083</v>
      </c>
      <c r="D16" s="275">
        <f ca="1">+'Profit &amp; Loss Account'!D65</f>
        <v>-445729.11810096767</v>
      </c>
      <c r="E16" s="275">
        <f ca="1">+'Profit &amp; Loss Account'!E65</f>
        <v>879704.41088408045</v>
      </c>
      <c r="F16" s="275">
        <f ca="1">+'Profit &amp; Loss Account'!F65</f>
        <v>764819.02525227226</v>
      </c>
      <c r="G16" s="275">
        <f ca="1">+'Profit &amp; Loss Account'!G65</f>
        <v>935958.63593304914</v>
      </c>
    </row>
    <row r="17" spans="1:20" ht="3" customHeight="1" x14ac:dyDescent="0.25">
      <c r="A17" s="280"/>
      <c r="B17" s="273"/>
      <c r="C17" s="273"/>
      <c r="D17" s="273"/>
      <c r="E17" s="273"/>
      <c r="F17" s="273"/>
      <c r="G17" s="273"/>
    </row>
    <row r="18" spans="1:20" ht="3" customHeight="1" x14ac:dyDescent="0.25">
      <c r="A18" s="281"/>
      <c r="B18" s="274"/>
      <c r="C18" s="274"/>
      <c r="D18" s="274"/>
      <c r="E18" s="274"/>
      <c r="F18" s="274"/>
      <c r="G18" s="274"/>
    </row>
    <row r="19" spans="1:20" x14ac:dyDescent="0.2">
      <c r="A19" s="245" t="s">
        <v>274</v>
      </c>
      <c r="B19" s="276">
        <f>-'Profit &amp; Loss Account'!B60</f>
        <v>49049.466666666667</v>
      </c>
      <c r="C19" s="276">
        <f>-'Profit &amp; Loss Account'!C60</f>
        <v>54854.739204556296</v>
      </c>
      <c r="D19" s="276">
        <f ca="1">-'Profit &amp; Loss Account'!D60</f>
        <v>90374.725526578608</v>
      </c>
      <c r="E19" s="276">
        <f ca="1">-'Profit &amp; Loss Account'!E60</f>
        <v>100902.59463400055</v>
      </c>
      <c r="F19" s="276">
        <f ca="1">-'Profit &amp; Loss Account'!F60</f>
        <v>1289970.0133064857</v>
      </c>
      <c r="G19" s="276">
        <f ca="1">-'Profit &amp; Loss Account'!G60</f>
        <v>1252911.386137662</v>
      </c>
    </row>
    <row r="20" spans="1:20" x14ac:dyDescent="0.2">
      <c r="A20" s="245" t="s">
        <v>275</v>
      </c>
      <c r="B20" s="276">
        <f>+'Profit &amp; Loss Account'!B76</f>
        <v>0</v>
      </c>
      <c r="C20" s="276">
        <f ca="1">+'Profit &amp; Loss Account'!C76</f>
        <v>363945.17168890499</v>
      </c>
      <c r="D20" s="276">
        <f ca="1">+'Profit &amp; Loss Account'!D76</f>
        <v>382488.83312167553</v>
      </c>
      <c r="E20" s="276">
        <f ca="1">+'Profit &amp; Loss Account'!E76</f>
        <v>98335.464642042469</v>
      </c>
      <c r="F20" s="276">
        <f ca="1">+'Profit &amp; Loss Account'!F76</f>
        <v>-91803.052668773191</v>
      </c>
      <c r="G20" s="276">
        <f ca="1">+'Profit &amp; Loss Account'!G76</f>
        <v>-296385.63075016928</v>
      </c>
    </row>
    <row r="21" spans="1:20" x14ac:dyDescent="0.2">
      <c r="A21" s="245" t="s">
        <v>276</v>
      </c>
      <c r="B21" s="276">
        <f>'Profit &amp; Loss Account'!B70</f>
        <v>0</v>
      </c>
      <c r="C21" s="276">
        <f>'Profit &amp; Loss Account'!C70</f>
        <v>0</v>
      </c>
      <c r="D21" s="276">
        <f>'Profit &amp; Loss Account'!D70</f>
        <v>0</v>
      </c>
      <c r="E21" s="276">
        <f>'Profit &amp; Loss Account'!E70</f>
        <v>0</v>
      </c>
      <c r="F21" s="276">
        <f>'Profit &amp; Loss Account'!F70</f>
        <v>0</v>
      </c>
      <c r="G21" s="276">
        <f>'Profit &amp; Loss Account'!G70</f>
        <v>0</v>
      </c>
    </row>
    <row r="22" spans="1:20" ht="3" customHeight="1" x14ac:dyDescent="0.25">
      <c r="A22" s="280"/>
      <c r="B22" s="273"/>
      <c r="C22" s="273"/>
      <c r="D22" s="273"/>
      <c r="E22" s="273"/>
      <c r="F22" s="273"/>
      <c r="G22" s="273"/>
    </row>
    <row r="23" spans="1:20" ht="3" customHeight="1" x14ac:dyDescent="0.25">
      <c r="A23" s="281"/>
      <c r="B23" s="274"/>
      <c r="C23" s="274"/>
      <c r="D23" s="274"/>
      <c r="E23" s="274"/>
      <c r="F23" s="274"/>
      <c r="G23" s="274"/>
    </row>
    <row r="24" spans="1:20" ht="12" x14ac:dyDescent="0.25">
      <c r="A24" s="243" t="s">
        <v>33</v>
      </c>
      <c r="B24" s="275">
        <f t="shared" ref="B24:G24" ca="1" si="1">+SUM(B16:B21)</f>
        <v>-1160771.8061187214</v>
      </c>
      <c r="C24" s="275">
        <f t="shared" ca="1" si="1"/>
        <v>-1013500.9157791471</v>
      </c>
      <c r="D24" s="275">
        <f t="shared" ca="1" si="1"/>
        <v>27134.440547286475</v>
      </c>
      <c r="E24" s="275">
        <f t="shared" ca="1" si="1"/>
        <v>1078942.4701601234</v>
      </c>
      <c r="F24" s="275">
        <f t="shared" ca="1" si="1"/>
        <v>1962985.9858899848</v>
      </c>
      <c r="G24" s="275">
        <f t="shared" ca="1" si="1"/>
        <v>1892484.3913205417</v>
      </c>
    </row>
    <row r="25" spans="1:20" ht="3" customHeight="1" x14ac:dyDescent="0.25">
      <c r="A25" s="280"/>
      <c r="B25" s="273"/>
      <c r="C25" s="273"/>
      <c r="D25" s="273"/>
      <c r="E25" s="273"/>
      <c r="F25" s="273"/>
      <c r="G25" s="273"/>
    </row>
    <row r="26" spans="1:20" ht="3" customHeight="1" x14ac:dyDescent="0.25">
      <c r="A26" s="281"/>
      <c r="B26" s="274"/>
      <c r="C26" s="274"/>
      <c r="D26" s="274"/>
      <c r="E26" s="274"/>
      <c r="F26" s="274"/>
      <c r="G26" s="274"/>
    </row>
    <row r="27" spans="1:20" x14ac:dyDescent="0.2">
      <c r="A27" s="245" t="s">
        <v>277</v>
      </c>
      <c r="B27" s="276">
        <f>-('Balance Sheet'!C27-'Balance Sheet'!B27)</f>
        <v>112817.71675115953</v>
      </c>
      <c r="C27" s="276">
        <f>-('Balance Sheet'!D27-'Balance Sheet'!C27)</f>
        <v>85346.635971520809</v>
      </c>
      <c r="D27" s="276">
        <f>-('Balance Sheet'!E27-'Balance Sheet'!D27)</f>
        <v>-118104.14332324095</v>
      </c>
      <c r="E27" s="276">
        <f>-('Balance Sheet'!F27-'Balance Sheet'!E27)</f>
        <v>-190035.78346713888</v>
      </c>
      <c r="F27" s="276">
        <f>-('Balance Sheet'!G27-'Balance Sheet'!F27)</f>
        <v>-174681.45294824673</v>
      </c>
      <c r="G27" s="276">
        <f>-('Balance Sheet'!H27-'Balance Sheet'!G27)</f>
        <v>-199197.84482305625</v>
      </c>
    </row>
    <row r="28" spans="1:20" x14ac:dyDescent="0.2">
      <c r="A28" s="245" t="s">
        <v>278</v>
      </c>
      <c r="B28" s="276">
        <f>-('Balance Sheet'!C20-'Balance Sheet'!B20)+'Profit &amp; Loss Account'!B60</f>
        <v>-245247.33333333334</v>
      </c>
      <c r="C28" s="276">
        <f>-('Balance Sheet'!D20-'Balance Sheet'!C20)+'Profit &amp; Loss Account'!C60</f>
        <v>-29521.029356114821</v>
      </c>
      <c r="D28" s="276">
        <f ca="1">-('Balance Sheet'!E20-'Balance Sheet'!D20)+'Profit &amp; Loss Account'!D60</f>
        <v>-274636.3488786224</v>
      </c>
      <c r="E28" s="276">
        <f ca="1">-('Balance Sheet'!F20-'Balance Sheet'!E20)+'Profit &amp; Loss Account'!E60</f>
        <v>-133408.55035699997</v>
      </c>
      <c r="F28" s="276">
        <f ca="1">-('Balance Sheet'!G20-'Balance Sheet'!F20)+'Profit &amp; Loss Account'!F60</f>
        <v>-6191384.9892565357</v>
      </c>
      <c r="G28" s="276">
        <f ca="1">-('Balance Sheet'!H20-'Balance Sheet'!G20)+'Profit &amp; Loss Account'!G60</f>
        <v>-256428.94677484361</v>
      </c>
      <c r="I28" s="74"/>
      <c r="J28" s="74"/>
      <c r="K28" s="74"/>
      <c r="L28" s="74"/>
      <c r="M28" s="74"/>
      <c r="N28" s="74"/>
      <c r="O28" s="74"/>
      <c r="P28" s="74"/>
      <c r="Q28" s="74"/>
      <c r="R28" s="74"/>
      <c r="S28" s="74"/>
      <c r="T28" s="74"/>
    </row>
    <row r="29" spans="1:20" x14ac:dyDescent="0.2">
      <c r="A29" s="245" t="s">
        <v>279</v>
      </c>
      <c r="B29" s="276">
        <f ca="1">-('Balance Sheet'!C36-'Balance Sheet'!B36)</f>
        <v>-609614.75440362934</v>
      </c>
      <c r="C29" s="276">
        <f ca="1">-('Balance Sheet'!D36-'Balance Sheet'!C36)</f>
        <v>-528205.83072937815</v>
      </c>
      <c r="D29" s="276">
        <f ca="1">-('Balance Sheet'!E36-'Balance Sheet'!D36)</f>
        <v>168407.68937554781</v>
      </c>
      <c r="E29" s="276">
        <f ca="1">-('Balance Sheet'!F36-'Balance Sheet'!E36)</f>
        <v>655698.4116877038</v>
      </c>
      <c r="F29" s="276">
        <f ca="1">-('Balance Sheet'!G36-'Balance Sheet'!F36)</f>
        <v>-628901.30297751317</v>
      </c>
      <c r="G29" s="276">
        <f ca="1">-('Balance Sheet'!H36-'Balance Sheet'!G36)</f>
        <v>1964327.6434700552</v>
      </c>
    </row>
    <row r="30" spans="1:20" ht="3" customHeight="1" x14ac:dyDescent="0.25">
      <c r="A30" s="280"/>
      <c r="B30" s="273"/>
      <c r="C30" s="273"/>
      <c r="D30" s="273"/>
      <c r="E30" s="273"/>
      <c r="F30" s="273"/>
      <c r="G30" s="273"/>
    </row>
    <row r="31" spans="1:20" ht="3" customHeight="1" x14ac:dyDescent="0.25">
      <c r="A31" s="281"/>
      <c r="B31" s="274"/>
      <c r="C31" s="274"/>
      <c r="D31" s="274"/>
      <c r="E31" s="274"/>
      <c r="F31" s="274"/>
      <c r="G31" s="274"/>
    </row>
    <row r="32" spans="1:20" ht="12" x14ac:dyDescent="0.25">
      <c r="A32" s="243" t="s">
        <v>280</v>
      </c>
      <c r="B32" s="275">
        <f t="shared" ref="B32:G32" ca="1" si="2">B24+SUM(B27:B29)</f>
        <v>-1902816.1771045246</v>
      </c>
      <c r="C32" s="275">
        <f t="shared" ca="1" si="2"/>
        <v>-1485881.1398931192</v>
      </c>
      <c r="D32" s="275">
        <f t="shared" ca="1" si="2"/>
        <v>-197198.36227902904</v>
      </c>
      <c r="E32" s="275">
        <f t="shared" ca="1" si="2"/>
        <v>1411196.5480236884</v>
      </c>
      <c r="F32" s="275">
        <f t="shared" ca="1" si="2"/>
        <v>-5031981.759292312</v>
      </c>
      <c r="G32" s="275">
        <f t="shared" ca="1" si="2"/>
        <v>3401185.2431926969</v>
      </c>
    </row>
    <row r="33" spans="1:7" ht="3" customHeight="1" x14ac:dyDescent="0.25">
      <c r="A33" s="280"/>
      <c r="B33" s="273"/>
      <c r="C33" s="273"/>
      <c r="D33" s="273"/>
      <c r="E33" s="273"/>
      <c r="F33" s="273"/>
      <c r="G33" s="273"/>
    </row>
    <row r="34" spans="1:7" ht="3" customHeight="1" x14ac:dyDescent="0.25">
      <c r="A34" s="281"/>
      <c r="B34" s="274"/>
      <c r="C34" s="274"/>
      <c r="D34" s="274"/>
      <c r="E34" s="274"/>
      <c r="F34" s="274"/>
      <c r="G34" s="274"/>
    </row>
    <row r="35" spans="1:7" x14ac:dyDescent="0.2">
      <c r="A35" s="245" t="s">
        <v>287</v>
      </c>
      <c r="B35" s="276">
        <f ca="1">'Profit &amp; Loss Account'!B69</f>
        <v>-100148.21984760655</v>
      </c>
      <c r="C35" s="277">
        <f ca="1">'Profit &amp; Loss Account'!C69</f>
        <v>0</v>
      </c>
      <c r="D35" s="277">
        <f ca="1">'Profit &amp; Loss Account'!D69</f>
        <v>0</v>
      </c>
      <c r="E35" s="277">
        <f ca="1">'Profit &amp; Loss Account'!E69</f>
        <v>0</v>
      </c>
      <c r="F35" s="277">
        <f ca="1">'Profit &amp; Loss Account'!F69</f>
        <v>0</v>
      </c>
      <c r="G35" s="277">
        <f ca="1">'Profit &amp; Loss Account'!G69</f>
        <v>0</v>
      </c>
    </row>
    <row r="36" spans="1:7" ht="3" customHeight="1" x14ac:dyDescent="0.25">
      <c r="A36" s="280"/>
      <c r="B36" s="273"/>
      <c r="C36" s="273"/>
      <c r="D36" s="273"/>
      <c r="E36" s="273"/>
      <c r="F36" s="273"/>
      <c r="G36" s="273"/>
    </row>
    <row r="37" spans="1:7" ht="3" customHeight="1" x14ac:dyDescent="0.25">
      <c r="A37" s="281"/>
      <c r="B37" s="274"/>
      <c r="C37" s="274"/>
      <c r="D37" s="274"/>
      <c r="E37" s="274"/>
      <c r="F37" s="274"/>
      <c r="G37" s="274"/>
    </row>
    <row r="38" spans="1:7" ht="12" x14ac:dyDescent="0.25">
      <c r="A38" s="243" t="s">
        <v>282</v>
      </c>
      <c r="B38" s="278">
        <f t="shared" ref="B38:G38" ca="1" si="3">B32+SUM(B35:B35)</f>
        <v>-2002964.3969521311</v>
      </c>
      <c r="C38" s="278">
        <f t="shared" ca="1" si="3"/>
        <v>-1485881.1398931192</v>
      </c>
      <c r="D38" s="278">
        <f t="shared" ca="1" si="3"/>
        <v>-197198.36227902904</v>
      </c>
      <c r="E38" s="278">
        <f t="shared" ca="1" si="3"/>
        <v>1411196.5480236884</v>
      </c>
      <c r="F38" s="278">
        <f t="shared" ca="1" si="3"/>
        <v>-5031981.759292312</v>
      </c>
      <c r="G38" s="278">
        <f t="shared" ca="1" si="3"/>
        <v>3401185.2431926969</v>
      </c>
    </row>
    <row r="39" spans="1:7" ht="3" customHeight="1" x14ac:dyDescent="0.25">
      <c r="A39" s="280"/>
      <c r="B39" s="273"/>
      <c r="C39" s="273"/>
      <c r="D39" s="273"/>
      <c r="E39" s="273"/>
      <c r="F39" s="273"/>
      <c r="G39" s="273"/>
    </row>
    <row r="40" spans="1:7" ht="3" customHeight="1" x14ac:dyDescent="0.25">
      <c r="A40" s="281"/>
      <c r="B40" s="274"/>
      <c r="C40" s="274"/>
      <c r="D40" s="274"/>
      <c r="E40" s="274"/>
      <c r="F40" s="274"/>
      <c r="G40" s="274"/>
    </row>
    <row r="41" spans="1:7" x14ac:dyDescent="0.2">
      <c r="A41" s="245" t="s">
        <v>285</v>
      </c>
      <c r="B41" s="276">
        <f>'Balance Sheet'!C52-'Balance Sheet'!B52</f>
        <v>0</v>
      </c>
      <c r="C41" s="276">
        <f>'Balance Sheet'!D52-'Balance Sheet'!C52</f>
        <v>0</v>
      </c>
      <c r="D41" s="276">
        <f>'Balance Sheet'!E52-'Balance Sheet'!D52</f>
        <v>0</v>
      </c>
      <c r="E41" s="276">
        <f>'Balance Sheet'!F52-'Balance Sheet'!E52</f>
        <v>0</v>
      </c>
      <c r="F41" s="276">
        <f>'Balance Sheet'!G52-'Balance Sheet'!F52</f>
        <v>0</v>
      </c>
      <c r="G41" s="276">
        <f>'Balance Sheet'!H52-'Balance Sheet'!G52</f>
        <v>0</v>
      </c>
    </row>
    <row r="42" spans="1:7" x14ac:dyDescent="0.2">
      <c r="A42" s="245" t="s">
        <v>286</v>
      </c>
      <c r="B42" s="276">
        <f ca="1">'Balance Sheet'!C49-'Balance Sheet'!C45-'Balance Sheet'!B49</f>
        <v>0</v>
      </c>
      <c r="C42" s="276">
        <f ca="1">'Balance Sheet'!D49-'Balance Sheet'!D45-'Balance Sheet'!C49</f>
        <v>4000000</v>
      </c>
      <c r="D42" s="276">
        <f ca="1">'Balance Sheet'!E49-'Balance Sheet'!E45-'Balance Sheet'!D49</f>
        <v>0</v>
      </c>
      <c r="E42" s="276">
        <f ca="1">'Balance Sheet'!F49-'Balance Sheet'!F45-'Balance Sheet'!E49</f>
        <v>3.5099219530820847E-6</v>
      </c>
      <c r="F42" s="276">
        <f ca="1">'Balance Sheet'!G49-'Balance Sheet'!G45-'Balance Sheet'!F49</f>
        <v>3902196.0124538406</v>
      </c>
      <c r="G42" s="276">
        <f ca="1">'Balance Sheet'!H49-'Balance Sheet'!H45-'Balance Sheet'!G49</f>
        <v>-36799.206960889511</v>
      </c>
    </row>
    <row r="43" spans="1:7" ht="3" customHeight="1" x14ac:dyDescent="0.25">
      <c r="A43" s="280"/>
      <c r="B43" s="273"/>
      <c r="C43" s="273"/>
      <c r="D43" s="273"/>
      <c r="E43" s="273"/>
      <c r="F43" s="273"/>
      <c r="G43" s="273"/>
    </row>
    <row r="44" spans="1:7" ht="3" customHeight="1" x14ac:dyDescent="0.25">
      <c r="A44" s="281"/>
      <c r="B44" s="274"/>
      <c r="C44" s="274"/>
      <c r="D44" s="274"/>
      <c r="E44" s="274"/>
      <c r="F44" s="274"/>
      <c r="G44" s="274"/>
    </row>
    <row r="45" spans="1:7" ht="12" x14ac:dyDescent="0.25">
      <c r="A45" s="246" t="s">
        <v>281</v>
      </c>
      <c r="B45" s="279">
        <f t="shared" ref="B45:G45" ca="1" si="4">B38+SUM(B41:B42)</f>
        <v>-2002964.3969521311</v>
      </c>
      <c r="C45" s="279">
        <f t="shared" ca="1" si="4"/>
        <v>2514118.8601068808</v>
      </c>
      <c r="D45" s="279">
        <f t="shared" ca="1" si="4"/>
        <v>-197198.36227902904</v>
      </c>
      <c r="E45" s="279">
        <f t="shared" ca="1" si="4"/>
        <v>1411196.5480271983</v>
      </c>
      <c r="F45" s="279">
        <f t="shared" ca="1" si="4"/>
        <v>-1129785.7468384714</v>
      </c>
      <c r="G45" s="279">
        <f t="shared" ca="1" si="4"/>
        <v>3364386.0362318074</v>
      </c>
    </row>
    <row r="46" spans="1:7" ht="3" customHeight="1" x14ac:dyDescent="0.25">
      <c r="A46" s="280"/>
      <c r="B46" s="273"/>
      <c r="C46" s="273"/>
      <c r="D46" s="273"/>
      <c r="E46" s="273"/>
      <c r="F46" s="273"/>
      <c r="G46" s="273"/>
    </row>
    <row r="47" spans="1:7" ht="3" customHeight="1" x14ac:dyDescent="0.25">
      <c r="A47" s="281"/>
      <c r="B47" s="274"/>
      <c r="C47" s="274"/>
      <c r="D47" s="274"/>
      <c r="E47" s="274"/>
      <c r="F47" s="274"/>
      <c r="G47" s="274"/>
    </row>
    <row r="48" spans="1:7" ht="12" x14ac:dyDescent="0.25">
      <c r="A48" s="243" t="s">
        <v>283</v>
      </c>
      <c r="B48" s="276">
        <f>'Balance Sheet'!B53</f>
        <v>0</v>
      </c>
      <c r="C48" s="276">
        <f ca="1">+B51</f>
        <v>2002964.3969521311</v>
      </c>
      <c r="D48" s="276">
        <f ca="1">+C51</f>
        <v>-511154.46315474971</v>
      </c>
      <c r="E48" s="276">
        <f ca="1">+D51</f>
        <v>-313956.10085380962</v>
      </c>
      <c r="F48" s="276">
        <f ca="1">+E51</f>
        <v>-1725152.648887221</v>
      </c>
      <c r="G48" s="276">
        <f ca="1">+F51</f>
        <v>-595366.90208270727</v>
      </c>
    </row>
    <row r="49" spans="1:7" ht="3" customHeight="1" x14ac:dyDescent="0.25">
      <c r="A49" s="280"/>
      <c r="B49" s="273"/>
      <c r="C49" s="273"/>
      <c r="D49" s="273"/>
      <c r="E49" s="273"/>
      <c r="F49" s="273"/>
      <c r="G49" s="273"/>
    </row>
    <row r="50" spans="1:7" ht="3" customHeight="1" x14ac:dyDescent="0.25">
      <c r="A50" s="281"/>
      <c r="B50" s="274"/>
      <c r="C50" s="274"/>
      <c r="D50" s="274"/>
      <c r="E50" s="274"/>
      <c r="F50" s="274"/>
      <c r="G50" s="274"/>
    </row>
    <row r="51" spans="1:7" ht="12" x14ac:dyDescent="0.25">
      <c r="A51" s="246" t="s">
        <v>284</v>
      </c>
      <c r="B51" s="275">
        <f t="shared" ref="B51:G51" ca="1" si="5">B48-B45</f>
        <v>2002964.3969521311</v>
      </c>
      <c r="C51" s="275">
        <f t="shared" ca="1" si="5"/>
        <v>-511154.46315474971</v>
      </c>
      <c r="D51" s="275">
        <f t="shared" ca="1" si="5"/>
        <v>-313956.10087572067</v>
      </c>
      <c r="E51" s="275">
        <f t="shared" ca="1" si="5"/>
        <v>-1725152.6488810079</v>
      </c>
      <c r="F51" s="275">
        <f t="shared" ca="1" si="5"/>
        <v>-595366.90204874962</v>
      </c>
      <c r="G51" s="275">
        <f t="shared" ca="1" si="5"/>
        <v>-3959752.9383145147</v>
      </c>
    </row>
    <row r="52" spans="1:7" x14ac:dyDescent="0.2">
      <c r="B52" s="24"/>
      <c r="C52" s="24"/>
      <c r="D52" s="24"/>
      <c r="E52" s="24"/>
      <c r="F52" s="24"/>
      <c r="G52" s="24"/>
    </row>
    <row r="53" spans="1:7" x14ac:dyDescent="0.2">
      <c r="A53" s="25" t="s">
        <v>21</v>
      </c>
      <c r="B53" s="24"/>
      <c r="C53" s="24"/>
      <c r="D53" s="24"/>
      <c r="E53" s="24"/>
      <c r="F53" s="24"/>
      <c r="G53" s="24"/>
    </row>
    <row r="54" spans="1:7" x14ac:dyDescent="0.2">
      <c r="B54" s="24"/>
      <c r="C54" s="24"/>
      <c r="D54" s="24"/>
      <c r="E54" s="24"/>
      <c r="F54" s="24"/>
      <c r="G54" s="24"/>
    </row>
    <row r="55" spans="1:7" x14ac:dyDescent="0.2">
      <c r="B55" s="24"/>
      <c r="C55" s="24"/>
      <c r="D55" s="24"/>
      <c r="E55" s="24"/>
      <c r="F55" s="24"/>
      <c r="G55" s="24"/>
    </row>
    <row r="56" spans="1:7" ht="12" x14ac:dyDescent="0.25">
      <c r="A56" s="247" t="s">
        <v>342</v>
      </c>
      <c r="B56" s="247">
        <f t="shared" ref="B56:G56" si="6">B12</f>
        <v>2021</v>
      </c>
      <c r="C56" s="247">
        <f t="shared" si="6"/>
        <v>2022</v>
      </c>
      <c r="D56" s="247">
        <f t="shared" si="6"/>
        <v>2023</v>
      </c>
      <c r="E56" s="247">
        <f t="shared" si="6"/>
        <v>2024</v>
      </c>
      <c r="F56" s="247">
        <f t="shared" si="6"/>
        <v>2025</v>
      </c>
      <c r="G56" s="247">
        <f t="shared" si="6"/>
        <v>2026</v>
      </c>
    </row>
    <row r="57" spans="1:7" ht="3" customHeight="1" x14ac:dyDescent="0.25">
      <c r="A57" s="280"/>
      <c r="B57" s="273"/>
      <c r="C57" s="273"/>
      <c r="D57" s="273"/>
      <c r="E57" s="273"/>
      <c r="F57" s="273"/>
      <c r="G57" s="273"/>
    </row>
    <row r="58" spans="1:7" ht="3" customHeight="1" x14ac:dyDescent="0.25">
      <c r="A58" s="281"/>
      <c r="B58" s="274"/>
      <c r="C58" s="274"/>
      <c r="D58" s="274"/>
      <c r="E58" s="274"/>
      <c r="F58" s="274"/>
      <c r="G58" s="274"/>
    </row>
    <row r="59" spans="1:7" ht="12" x14ac:dyDescent="0.25">
      <c r="A59" s="287" t="s">
        <v>343</v>
      </c>
      <c r="B59" s="288">
        <f ca="1">'Balance Sheet'!C56/'Profit &amp; Loss Account'!B56</f>
        <v>-1.7279821788404568</v>
      </c>
      <c r="C59" s="288">
        <f ca="1">'Balance Sheet'!D56/'Profit &amp; Loss Account'!C56</f>
        <v>0.3790770032976265</v>
      </c>
      <c r="D59" s="288">
        <f ca="1">'Balance Sheet'!E56/'Profit &amp; Loss Account'!D56</f>
        <v>1.0317946386418746</v>
      </c>
      <c r="E59" s="288">
        <f ca="1">'Balance Sheet'!F56/'Profit &amp; Loss Account'!E56</f>
        <v>-1.6000274479704393</v>
      </c>
      <c r="F59" s="288">
        <f ca="1">'Balance Sheet'!G56/'Profit &amp; Loss Account'!F56</f>
        <v>-0.26882045429424084</v>
      </c>
      <c r="G59" s="288">
        <f ca="1">'Balance Sheet'!H56/'Profit &amp; Loss Account'!G56</f>
        <v>-1.6115476528102508</v>
      </c>
    </row>
    <row r="60" spans="1:7" ht="12" x14ac:dyDescent="0.25">
      <c r="A60" s="287" t="s">
        <v>344</v>
      </c>
      <c r="B60" s="288">
        <f ca="1">'Balance Sheet'!C56/'Balance Sheet'!C49</f>
        <v>-1.5290160635162886</v>
      </c>
      <c r="C60" s="288">
        <f ca="1">'Balance Sheet'!D56/'Balance Sheet'!D49</f>
        <v>-0.31520157225323503</v>
      </c>
      <c r="D60" s="288">
        <f ca="1">'Balance Sheet'!E56/'Balance Sheet'!E49</f>
        <v>-0.20145606842965519</v>
      </c>
      <c r="E60" s="288">
        <f ca="1">'Balance Sheet'!F56/'Balance Sheet'!F49</f>
        <v>-0.68013799772216599</v>
      </c>
      <c r="F60" s="288">
        <f ca="1">'Balance Sheet'!G56/'Balance Sheet'!G49</f>
        <v>-8.3716697595302439E-2</v>
      </c>
      <c r="G60" s="288">
        <f ca="1">'Balance Sheet'!H56/'Balance Sheet'!H49</f>
        <v>-0.51328969522623968</v>
      </c>
    </row>
    <row r="61" spans="1:7" ht="12" x14ac:dyDescent="0.25">
      <c r="A61" s="287" t="s">
        <v>345</v>
      </c>
      <c r="B61" s="289" t="str">
        <f>IFERROR(('Profit &amp; Loss Account'!B15-'Profit &amp; Loss Account'!A15)/'Profit &amp; Loss Account'!A15,"n.d.")</f>
        <v>n.d.</v>
      </c>
      <c r="C61" s="289">
        <f>IFERROR(('Profit &amp; Loss Account'!C15-'Profit &amp; Loss Account'!B15)/'Profit &amp; Loss Account'!B15,"n.d.")</f>
        <v>24.663151903274418</v>
      </c>
      <c r="D61" s="289">
        <f>IFERROR(('Profit &amp; Loss Account'!D15-'Profit &amp; Loss Account'!C15)/'Profit &amp; Loss Account'!C15,"n.d.")</f>
        <v>4.2156438737198005</v>
      </c>
      <c r="E61" s="289">
        <f>IFERROR(('Profit &amp; Loss Account'!E15-'Profit &amp; Loss Account'!D15)/'Profit &amp; Loss Account'!D15,"n.d.")</f>
        <v>1.2837784204514679</v>
      </c>
      <c r="F61" s="289">
        <f>IFERROR(('Profit &amp; Loss Account'!F15-'Profit &amp; Loss Account'!E15)/'Profit &amp; Loss Account'!E15,"n.d.")</f>
        <v>0.51121752916364327</v>
      </c>
      <c r="G61" s="289">
        <f>IFERROR(('Profit &amp; Loss Account'!G15-'Profit &amp; Loss Account'!F15)/'Profit &amp; Loss Account'!F15,"n.d.")</f>
        <v>0.37951957053220714</v>
      </c>
    </row>
    <row r="62" spans="1:7" ht="12" x14ac:dyDescent="0.25">
      <c r="A62" s="287" t="s">
        <v>346</v>
      </c>
      <c r="B62" s="290">
        <f ca="1">'Profit &amp; Loss Account'!B57</f>
        <v>-93.730582419865968</v>
      </c>
      <c r="C62" s="290">
        <f ca="1">'Profit &amp; Loss Account'!C57</f>
        <v>-4.2487587202301293</v>
      </c>
      <c r="D62" s="290">
        <f ca="1">'Profit &amp; Loss Account'!D57</f>
        <v>-0.18382521409610819</v>
      </c>
      <c r="E62" s="290">
        <f ca="1">'Profit &amp; Loss Account'!E57</f>
        <v>0.28521709490861169</v>
      </c>
      <c r="F62" s="290">
        <f ca="1">'Profit &amp; Loss Account'!F57</f>
        <v>0.38767772648488663</v>
      </c>
      <c r="G62" s="290">
        <f ca="1">'Profit &amp; Loss Account'!G57</f>
        <v>0.31177805610266263</v>
      </c>
    </row>
    <row r="63" spans="1:7" x14ac:dyDescent="0.2">
      <c r="B63" s="24"/>
      <c r="C63" s="24"/>
      <c r="D63" s="24"/>
      <c r="E63" s="24"/>
      <c r="F63" s="24"/>
      <c r="G63" s="24"/>
    </row>
  </sheetData>
  <pageMargins left="0.74803149606299213" right="0.74803149606299213" top="0.98425196850393704" bottom="0.98425196850393704" header="0.51181102362204722" footer="0.51181102362204722"/>
  <pageSetup paperSize="9" scale="6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AC60"/>
  <sheetViews>
    <sheetView showGridLines="0" zoomScaleNormal="100" workbookViewId="0">
      <selection activeCell="A12" sqref="A12:H59"/>
    </sheetView>
  </sheetViews>
  <sheetFormatPr defaultRowHeight="11.4" x14ac:dyDescent="0.2"/>
  <cols>
    <col min="1" max="1" width="41.375" customWidth="1"/>
    <col min="2" max="2" width="10.625" hidden="1" customWidth="1"/>
    <col min="3" max="8" width="15.75" customWidth="1"/>
  </cols>
  <sheetData>
    <row r="1" spans="1:29" ht="15" x14ac:dyDescent="0.25">
      <c r="A1" s="27"/>
      <c r="B1" s="1"/>
      <c r="C1" s="36"/>
      <c r="D1" s="36"/>
      <c r="E1" s="36"/>
      <c r="F1" s="36"/>
      <c r="G1" s="36"/>
      <c r="H1" s="36"/>
      <c r="I1" s="1"/>
      <c r="J1" s="1"/>
      <c r="K1" s="1"/>
      <c r="L1" s="1"/>
      <c r="M1" s="1"/>
      <c r="N1" s="1"/>
      <c r="O1" s="1"/>
      <c r="P1" s="1"/>
      <c r="Q1" s="1"/>
      <c r="R1" s="1"/>
      <c r="S1" s="1"/>
      <c r="T1" s="1"/>
      <c r="U1" s="1"/>
      <c r="V1" s="1"/>
      <c r="W1" s="1"/>
      <c r="X1" s="1"/>
      <c r="Y1" s="1"/>
      <c r="Z1" s="1"/>
      <c r="AA1" s="1"/>
      <c r="AB1" s="1"/>
      <c r="AC1" s="1"/>
    </row>
    <row r="2" spans="1:29" ht="15.6" x14ac:dyDescent="0.3">
      <c r="A2" s="28" t="s">
        <v>171</v>
      </c>
      <c r="B2" s="13"/>
      <c r="C2" s="37">
        <v>2021</v>
      </c>
      <c r="D2" s="37">
        <f>+C2+1</f>
        <v>2022</v>
      </c>
      <c r="E2" s="37">
        <f>+D2+1</f>
        <v>2023</v>
      </c>
      <c r="F2" s="37">
        <f>+E2+1</f>
        <v>2024</v>
      </c>
      <c r="G2" s="37">
        <f>+F2+1</f>
        <v>2025</v>
      </c>
      <c r="H2" s="37">
        <f>+G2+1</f>
        <v>2026</v>
      </c>
      <c r="I2" s="11"/>
      <c r="J2" s="11"/>
      <c r="K2" s="11"/>
      <c r="L2" s="11"/>
      <c r="M2" s="11"/>
      <c r="N2" s="11"/>
      <c r="O2" s="9"/>
      <c r="P2" s="9"/>
      <c r="Q2" s="9"/>
      <c r="R2" s="9"/>
      <c r="S2" s="9"/>
      <c r="T2" s="9"/>
      <c r="U2" s="9"/>
      <c r="V2" s="9"/>
      <c r="W2" s="9"/>
      <c r="X2" s="9"/>
      <c r="Y2" s="9"/>
      <c r="Z2" s="9"/>
      <c r="AA2" s="9"/>
      <c r="AB2" s="9"/>
      <c r="AC2" s="9"/>
    </row>
    <row r="3" spans="1:29" x14ac:dyDescent="0.2">
      <c r="A3" s="29" t="str">
        <f>+A2</f>
        <v>Balance Sheet</v>
      </c>
      <c r="B3" s="8"/>
      <c r="C3" s="38"/>
      <c r="D3" s="38"/>
      <c r="E3" s="38"/>
      <c r="F3" s="38"/>
      <c r="G3" s="38"/>
      <c r="H3" s="38"/>
      <c r="I3" s="7"/>
      <c r="J3" s="7"/>
      <c r="K3" s="7"/>
      <c r="L3" s="7"/>
      <c r="M3" s="7"/>
      <c r="N3" s="7"/>
      <c r="O3" s="9"/>
      <c r="P3" s="9"/>
      <c r="Q3" s="9"/>
      <c r="R3" s="9"/>
      <c r="S3" s="9"/>
      <c r="T3" s="9"/>
      <c r="U3" s="9"/>
      <c r="V3" s="9"/>
      <c r="W3" s="9"/>
      <c r="X3" s="9"/>
      <c r="Y3" s="9"/>
      <c r="Z3" s="9"/>
      <c r="AA3" s="9"/>
      <c r="AB3" s="9"/>
      <c r="AC3" s="9"/>
    </row>
    <row r="4" spans="1:29" x14ac:dyDescent="0.2">
      <c r="A4" s="30"/>
      <c r="B4" s="8"/>
      <c r="C4" s="38"/>
      <c r="D4" s="38"/>
      <c r="E4" s="38"/>
      <c r="F4" s="38"/>
      <c r="G4" s="38"/>
      <c r="H4" s="38"/>
      <c r="I4" s="7"/>
      <c r="J4" s="7"/>
      <c r="K4" s="7"/>
      <c r="L4" s="7"/>
      <c r="M4" s="7"/>
      <c r="N4" s="7"/>
    </row>
    <row r="5" spans="1:29" x14ac:dyDescent="0.2">
      <c r="A5" s="31"/>
      <c r="B5" s="8"/>
      <c r="C5" s="39"/>
      <c r="D5" s="39"/>
      <c r="E5" s="39"/>
      <c r="F5" s="39"/>
      <c r="G5" s="39"/>
      <c r="H5" s="39"/>
      <c r="I5" s="10"/>
      <c r="J5" s="10"/>
      <c r="K5" s="10"/>
      <c r="L5" s="10"/>
      <c r="M5" s="10"/>
      <c r="N5" s="10"/>
    </row>
    <row r="6" spans="1:29" x14ac:dyDescent="0.2">
      <c r="A6" s="32" t="s">
        <v>351</v>
      </c>
      <c r="B6" s="8"/>
      <c r="C6" s="39"/>
      <c r="D6" s="39"/>
      <c r="E6" s="39"/>
      <c r="F6" s="39"/>
      <c r="G6" s="39"/>
      <c r="H6" s="39"/>
      <c r="I6" s="10"/>
      <c r="J6" s="10"/>
      <c r="K6" s="10"/>
      <c r="L6" s="10"/>
      <c r="M6" s="10"/>
      <c r="N6" s="10"/>
      <c r="O6" s="9"/>
      <c r="P6" s="9"/>
      <c r="Q6" s="9"/>
      <c r="R6" s="9"/>
      <c r="S6" s="9"/>
      <c r="T6" s="9"/>
      <c r="U6" s="9"/>
      <c r="V6" s="9"/>
      <c r="W6" s="9"/>
      <c r="X6" s="9"/>
      <c r="Y6" s="9"/>
      <c r="Z6" s="9"/>
      <c r="AA6" s="9"/>
      <c r="AB6" s="9"/>
      <c r="AC6" s="9"/>
    </row>
    <row r="7" spans="1:29" x14ac:dyDescent="0.2">
      <c r="A7" s="32" t="s">
        <v>350</v>
      </c>
      <c r="B7" s="8"/>
      <c r="C7" s="38"/>
      <c r="D7" s="38"/>
      <c r="E7" s="38"/>
      <c r="F7" s="38"/>
      <c r="G7" s="38"/>
      <c r="H7" s="38"/>
      <c r="I7" s="7"/>
      <c r="J7" s="7"/>
      <c r="K7" s="7"/>
      <c r="L7" s="7"/>
      <c r="M7" s="7"/>
      <c r="N7" s="7"/>
      <c r="O7" s="9"/>
      <c r="P7" s="9"/>
      <c r="Q7" s="9"/>
      <c r="R7" s="9"/>
      <c r="S7" s="9"/>
      <c r="T7" s="9"/>
      <c r="U7" s="9"/>
      <c r="V7" s="9"/>
      <c r="W7" s="9"/>
      <c r="X7" s="9"/>
      <c r="Y7" s="9"/>
      <c r="Z7" s="9"/>
      <c r="AA7" s="9"/>
      <c r="AB7" s="9"/>
      <c r="AC7" s="9"/>
    </row>
    <row r="8" spans="1:29" x14ac:dyDescent="0.2">
      <c r="B8" s="8"/>
      <c r="C8" s="38"/>
      <c r="D8" s="38"/>
      <c r="E8" s="38"/>
      <c r="F8" s="38"/>
      <c r="G8" s="38"/>
      <c r="H8" s="38"/>
      <c r="I8" s="7"/>
      <c r="J8" s="7"/>
      <c r="K8" s="7"/>
      <c r="L8" s="7"/>
      <c r="M8" s="7"/>
      <c r="N8" s="7"/>
      <c r="O8" s="9"/>
      <c r="P8" s="9"/>
      <c r="Q8" s="9"/>
      <c r="R8" s="9"/>
      <c r="S8" s="9"/>
      <c r="T8" s="9"/>
      <c r="U8" s="9"/>
      <c r="V8" s="9"/>
      <c r="W8" s="9"/>
      <c r="X8" s="9"/>
      <c r="Y8" s="9"/>
      <c r="Z8" s="9"/>
      <c r="AA8" s="9"/>
      <c r="AB8" s="9"/>
      <c r="AC8" s="9"/>
    </row>
    <row r="9" spans="1:29" x14ac:dyDescent="0.2">
      <c r="B9" s="8"/>
      <c r="C9" s="38"/>
      <c r="D9" s="38"/>
      <c r="E9" s="38"/>
      <c r="F9" s="38"/>
      <c r="G9" s="38"/>
      <c r="H9" s="38"/>
      <c r="I9" s="7"/>
      <c r="J9" s="7"/>
      <c r="K9" s="7"/>
      <c r="L9" s="7"/>
      <c r="M9" s="7"/>
      <c r="N9" s="7"/>
    </row>
    <row r="10" spans="1:29" x14ac:dyDescent="0.2">
      <c r="C10" s="40"/>
      <c r="D10" s="40"/>
      <c r="E10" s="40"/>
      <c r="F10" s="40"/>
      <c r="G10" s="40"/>
      <c r="H10" s="40"/>
    </row>
    <row r="11" spans="1:29" x14ac:dyDescent="0.2">
      <c r="B11" s="5"/>
      <c r="C11" s="41"/>
      <c r="D11" s="41"/>
      <c r="E11" s="41"/>
      <c r="F11" s="41"/>
      <c r="G11" s="41"/>
      <c r="H11" s="41"/>
      <c r="I11" s="5"/>
      <c r="J11" s="5"/>
      <c r="K11" s="5"/>
      <c r="L11" s="5"/>
      <c r="M11" s="5"/>
      <c r="N11" s="5"/>
      <c r="O11" s="5"/>
      <c r="P11" s="5"/>
      <c r="Q11" s="5"/>
      <c r="R11" s="5"/>
      <c r="S11" s="5"/>
      <c r="T11" s="5"/>
      <c r="U11" s="5"/>
      <c r="V11" s="5"/>
      <c r="W11" s="5"/>
      <c r="X11" s="5"/>
      <c r="Y11" s="5"/>
      <c r="Z11" s="5"/>
      <c r="AA11" s="5"/>
      <c r="AB11" s="5"/>
      <c r="AC11" s="5"/>
    </row>
    <row r="12" spans="1:29" ht="12" x14ac:dyDescent="0.25">
      <c r="A12" s="247" t="s">
        <v>13</v>
      </c>
      <c r="B12" s="240"/>
      <c r="C12" s="240">
        <f t="shared" ref="C12:H12" si="0">C2</f>
        <v>2021</v>
      </c>
      <c r="D12" s="240">
        <f t="shared" si="0"/>
        <v>2022</v>
      </c>
      <c r="E12" s="240">
        <f t="shared" si="0"/>
        <v>2023</v>
      </c>
      <c r="F12" s="240">
        <f t="shared" si="0"/>
        <v>2024</v>
      </c>
      <c r="G12" s="240">
        <f t="shared" si="0"/>
        <v>2025</v>
      </c>
      <c r="H12" s="240">
        <f t="shared" si="0"/>
        <v>2026</v>
      </c>
    </row>
    <row r="13" spans="1:29" ht="3" customHeight="1" x14ac:dyDescent="0.25">
      <c r="A13" s="280"/>
      <c r="B13" s="241"/>
      <c r="C13" s="273"/>
      <c r="D13" s="273"/>
      <c r="E13" s="273"/>
      <c r="F13" s="273"/>
      <c r="G13" s="273"/>
      <c r="H13" s="273"/>
    </row>
    <row r="14" spans="1:29" ht="3" customHeight="1" x14ac:dyDescent="0.25">
      <c r="A14" s="281"/>
      <c r="B14" s="242"/>
      <c r="C14" s="274"/>
      <c r="D14" s="274"/>
      <c r="E14" s="274"/>
      <c r="F14" s="274"/>
      <c r="G14" s="274"/>
      <c r="H14" s="274"/>
    </row>
    <row r="15" spans="1:29" ht="12" x14ac:dyDescent="0.25">
      <c r="A15" s="284" t="s">
        <v>289</v>
      </c>
      <c r="B15" s="248"/>
      <c r="C15" s="282"/>
      <c r="D15" s="282"/>
      <c r="E15" s="282"/>
      <c r="F15" s="282"/>
      <c r="G15" s="282"/>
      <c r="H15" s="282"/>
      <c r="I15" s="5"/>
      <c r="J15" s="5"/>
      <c r="K15" s="5"/>
      <c r="L15" s="5"/>
      <c r="M15" s="5"/>
      <c r="N15" s="5"/>
      <c r="O15" s="5"/>
      <c r="P15" s="5"/>
      <c r="Q15" s="5"/>
      <c r="R15" s="5"/>
      <c r="S15" s="5"/>
      <c r="T15" s="5"/>
      <c r="U15" s="5"/>
      <c r="V15" s="5"/>
      <c r="W15" s="5"/>
      <c r="X15" s="5"/>
      <c r="Y15" s="5"/>
      <c r="Z15" s="5"/>
      <c r="AA15" s="5"/>
      <c r="AB15" s="5"/>
    </row>
    <row r="16" spans="1:29" x14ac:dyDescent="0.2">
      <c r="A16" s="245" t="s">
        <v>291</v>
      </c>
      <c r="B16" s="24"/>
      <c r="C16" s="276">
        <f>'Computations 2'!F72</f>
        <v>0</v>
      </c>
      <c r="D16" s="276">
        <f>'Computations 2'!G72</f>
        <v>16000</v>
      </c>
      <c r="E16" s="276">
        <f ca="1">'Computations 2'!H72</f>
        <v>167680.24538518404</v>
      </c>
      <c r="F16" s="276">
        <f ca="1">'Computations 2'!I72</f>
        <v>160382.44034238582</v>
      </c>
      <c r="G16" s="276">
        <f ca="1">'Computations 2'!J72</f>
        <v>149084.63529958759</v>
      </c>
      <c r="H16" s="276">
        <f ca="1">'Computations 2'!K72</f>
        <v>133786.83025678937</v>
      </c>
      <c r="I16" s="5"/>
      <c r="J16" s="5"/>
      <c r="K16" s="5"/>
      <c r="L16" s="5"/>
      <c r="M16" s="5"/>
      <c r="N16" s="5"/>
      <c r="O16" s="5"/>
      <c r="P16" s="5"/>
      <c r="Q16" s="5"/>
      <c r="R16" s="5"/>
      <c r="S16" s="5"/>
      <c r="T16" s="5"/>
      <c r="U16" s="5"/>
      <c r="V16" s="5"/>
      <c r="W16" s="5"/>
      <c r="X16" s="5"/>
      <c r="Y16" s="5"/>
      <c r="Z16" s="5"/>
      <c r="AA16" s="5"/>
      <c r="AB16" s="5"/>
    </row>
    <row r="17" spans="1:8" x14ac:dyDescent="0.2">
      <c r="A17" s="245" t="s">
        <v>292</v>
      </c>
      <c r="B17" s="24"/>
      <c r="C17" s="276">
        <f>'Computations 2'!F76</f>
        <v>196197.86666666667</v>
      </c>
      <c r="D17" s="276">
        <f>'Computations 2'!G76</f>
        <v>154864.15681822519</v>
      </c>
      <c r="E17" s="276">
        <f>'Computations 2'!H76</f>
        <v>187445.53476896277</v>
      </c>
      <c r="F17" s="276">
        <f>'Computations 2'!I76</f>
        <v>227249.29553655174</v>
      </c>
      <c r="G17" s="276">
        <f>'Computations 2'!J76</f>
        <v>5139962.0765311914</v>
      </c>
      <c r="H17" s="276">
        <f>'Computations 2'!K76</f>
        <v>4158777.4422129625</v>
      </c>
    </row>
    <row r="18" spans="1:8" ht="3" customHeight="1" x14ac:dyDescent="0.25">
      <c r="A18" s="280"/>
      <c r="B18" s="241"/>
      <c r="C18" s="273"/>
      <c r="D18" s="273"/>
      <c r="E18" s="273"/>
      <c r="F18" s="273"/>
      <c r="G18" s="273"/>
      <c r="H18" s="273"/>
    </row>
    <row r="19" spans="1:8" ht="3" customHeight="1" x14ac:dyDescent="0.25">
      <c r="A19" s="281"/>
      <c r="B19" s="242"/>
      <c r="C19" s="274"/>
      <c r="D19" s="274"/>
      <c r="E19" s="274"/>
      <c r="F19" s="274"/>
      <c r="G19" s="274"/>
      <c r="H19" s="274"/>
    </row>
    <row r="20" spans="1:8" ht="12" x14ac:dyDescent="0.25">
      <c r="A20" s="243" t="s">
        <v>290</v>
      </c>
      <c r="B20" s="242"/>
      <c r="C20" s="274">
        <f t="shared" ref="C20:H20" si="1">SUM(C16:C17)</f>
        <v>196197.86666666667</v>
      </c>
      <c r="D20" s="274">
        <f t="shared" si="1"/>
        <v>170864.15681822519</v>
      </c>
      <c r="E20" s="274">
        <f t="shared" ca="1" si="1"/>
        <v>355125.78015414684</v>
      </c>
      <c r="F20" s="274">
        <f t="shared" ca="1" si="1"/>
        <v>387631.73587893753</v>
      </c>
      <c r="G20" s="283">
        <f t="shared" ca="1" si="1"/>
        <v>5289046.711830779</v>
      </c>
      <c r="H20" s="283">
        <f t="shared" ca="1" si="1"/>
        <v>4292564.2724697515</v>
      </c>
    </row>
    <row r="21" spans="1:8" ht="3" customHeight="1" x14ac:dyDescent="0.25">
      <c r="A21" s="280"/>
      <c r="B21" s="241"/>
      <c r="C21" s="273"/>
      <c r="D21" s="273"/>
      <c r="E21" s="273"/>
      <c r="F21" s="273"/>
      <c r="G21" s="273"/>
      <c r="H21" s="273"/>
    </row>
    <row r="22" spans="1:8" ht="3" customHeight="1" x14ac:dyDescent="0.25">
      <c r="A22" s="281"/>
      <c r="B22" s="242"/>
      <c r="C22" s="274"/>
      <c r="D22" s="274"/>
      <c r="E22" s="274"/>
      <c r="F22" s="274"/>
      <c r="G22" s="274"/>
      <c r="H22" s="274"/>
    </row>
    <row r="23" spans="1:8" x14ac:dyDescent="0.2">
      <c r="A23" s="245" t="s">
        <v>293</v>
      </c>
      <c r="B23" s="24"/>
      <c r="C23" s="276">
        <f>'Computations 2'!F83</f>
        <v>1240.0547945205483</v>
      </c>
      <c r="D23" s="276">
        <f>'Computations 2'!G83</f>
        <v>31823.714560164579</v>
      </c>
      <c r="E23" s="276">
        <f>'Computations 2'!H83</f>
        <v>165981.16188473001</v>
      </c>
      <c r="F23" s="276">
        <f>'Computations 2'!I83</f>
        <v>379064.195713808</v>
      </c>
      <c r="G23" s="276">
        <f>'Computations 2'!J83</f>
        <v>572848.45724102482</v>
      </c>
      <c r="H23" s="276">
        <f>'Computations 2'!K83</f>
        <v>790255.65771317598</v>
      </c>
    </row>
    <row r="24" spans="1:8" x14ac:dyDescent="0.2">
      <c r="A24" s="245" t="s">
        <v>294</v>
      </c>
      <c r="B24" s="24"/>
      <c r="C24" s="276">
        <f>'Computations 2'!F88</f>
        <v>-114057.77154568008</v>
      </c>
      <c r="D24" s="276">
        <f>'Computations 2'!G88</f>
        <v>-229988.06728284492</v>
      </c>
      <c r="E24" s="276">
        <f>'Computations 2'!H88</f>
        <v>-246041.37128416941</v>
      </c>
      <c r="F24" s="276">
        <f>'Computations 2'!I88</f>
        <v>-269088.62164610851</v>
      </c>
      <c r="G24" s="276">
        <f>'Computations 2'!J88</f>
        <v>-288191.4302250786</v>
      </c>
      <c r="H24" s="276">
        <f>'Computations 2'!K88</f>
        <v>-306400.78587417351</v>
      </c>
    </row>
    <row r="25" spans="1:8" ht="3" customHeight="1" x14ac:dyDescent="0.25">
      <c r="A25" s="280"/>
      <c r="B25" s="241"/>
      <c r="C25" s="273"/>
      <c r="D25" s="273"/>
      <c r="E25" s="273"/>
      <c r="F25" s="273"/>
      <c r="G25" s="273"/>
      <c r="H25" s="273"/>
    </row>
    <row r="26" spans="1:8" ht="3" customHeight="1" x14ac:dyDescent="0.25">
      <c r="A26" s="281"/>
      <c r="B26" s="242"/>
      <c r="C26" s="274"/>
      <c r="D26" s="274"/>
      <c r="E26" s="274"/>
      <c r="F26" s="274"/>
      <c r="G26" s="274"/>
      <c r="H26" s="274"/>
    </row>
    <row r="27" spans="1:8" ht="12" x14ac:dyDescent="0.25">
      <c r="A27" s="243" t="s">
        <v>295</v>
      </c>
      <c r="B27" s="244"/>
      <c r="C27" s="275">
        <f t="shared" ref="C27:H27" si="2">SUM(C23:C24)</f>
        <v>-112817.71675115953</v>
      </c>
      <c r="D27" s="275">
        <f t="shared" si="2"/>
        <v>-198164.35272268034</v>
      </c>
      <c r="E27" s="275">
        <f t="shared" si="2"/>
        <v>-80060.209399439394</v>
      </c>
      <c r="F27" s="275">
        <f t="shared" si="2"/>
        <v>109975.57406769949</v>
      </c>
      <c r="G27" s="275">
        <f t="shared" si="2"/>
        <v>284657.02701594622</v>
      </c>
      <c r="H27" s="275">
        <f t="shared" si="2"/>
        <v>483854.87183900247</v>
      </c>
    </row>
    <row r="28" spans="1:8" ht="3" customHeight="1" x14ac:dyDescent="0.25">
      <c r="A28" s="280"/>
      <c r="B28" s="241"/>
      <c r="C28" s="273"/>
      <c r="D28" s="273"/>
      <c r="E28" s="273"/>
      <c r="F28" s="273"/>
      <c r="G28" s="273"/>
      <c r="H28" s="273"/>
    </row>
    <row r="29" spans="1:8" ht="3" customHeight="1" x14ac:dyDescent="0.25">
      <c r="A29" s="281"/>
      <c r="B29" s="242"/>
      <c r="C29" s="274"/>
      <c r="D29" s="274"/>
      <c r="E29" s="274"/>
      <c r="F29" s="274"/>
      <c r="G29" s="274"/>
      <c r="H29" s="274"/>
    </row>
    <row r="30" spans="1:8" x14ac:dyDescent="0.2">
      <c r="A30" s="245" t="s">
        <v>296</v>
      </c>
      <c r="B30" s="24"/>
      <c r="C30" s="276">
        <f>'Computations 2'!F91</f>
        <v>248133.74666666667</v>
      </c>
      <c r="D30" s="276">
        <f>'Computations 2'!G91</f>
        <v>436941.14223167719</v>
      </c>
      <c r="E30" s="276">
        <f ca="1">'Computations 2'!H91</f>
        <v>239095.07168803446</v>
      </c>
      <c r="F30" s="276">
        <f ca="1">'Computations 2'!I91</f>
        <v>-200387.8717256299</v>
      </c>
      <c r="G30" s="276">
        <f ca="1">'Computations 2'!J91</f>
        <v>732140.1083736805</v>
      </c>
      <c r="H30" s="276">
        <f ca="1">'Computations 2'!K91</f>
        <v>-1010979.0900964842</v>
      </c>
    </row>
    <row r="31" spans="1:8" x14ac:dyDescent="0.2">
      <c r="A31" s="245" t="s">
        <v>297</v>
      </c>
      <c r="B31" s="24"/>
      <c r="C31" s="276">
        <f ca="1">'Computations 2'!F63</f>
        <v>363945.17168890499</v>
      </c>
      <c r="D31" s="276">
        <f ca="1">'Computations 2'!G63</f>
        <v>746434.00481058052</v>
      </c>
      <c r="E31" s="276">
        <f ca="1">'Computations 2'!H63</f>
        <v>844769.46945262305</v>
      </c>
      <c r="F31" s="276">
        <f ca="1">'Computations 2'!I63</f>
        <v>752966.41678384983</v>
      </c>
      <c r="G31" s="276">
        <f ca="1">'Computations 2'!J63</f>
        <v>640186.89137122687</v>
      </c>
      <c r="H31" s="276">
        <f ca="1">'Computations 2'!K63</f>
        <v>725862.57887095923</v>
      </c>
    </row>
    <row r="32" spans="1:8" x14ac:dyDescent="0.2">
      <c r="A32" s="245" t="s">
        <v>298</v>
      </c>
      <c r="B32" s="24"/>
      <c r="C32" s="276">
        <f>'Computations 2'!F93</f>
        <v>-827.22709223046331</v>
      </c>
      <c r="D32" s="276">
        <f>'Computations 2'!G93</f>
        <v>-14890.087660148351</v>
      </c>
      <c r="E32" s="276">
        <f>'Computations 2'!H93</f>
        <v>-32852.829379992487</v>
      </c>
      <c r="F32" s="276">
        <f>'Computations 2'!I93</f>
        <v>-63362.462393046051</v>
      </c>
      <c r="G32" s="276">
        <f>'Computations 2'!J93</f>
        <v>-116348.7642438773</v>
      </c>
      <c r="H32" s="276">
        <f>'Computations 2'!K93</f>
        <v>-215715.92989950074</v>
      </c>
    </row>
    <row r="33" spans="1:8" x14ac:dyDescent="0.2">
      <c r="A33" s="245" t="s">
        <v>299</v>
      </c>
      <c r="B33" s="24"/>
      <c r="C33" s="276">
        <f>'Computations 2'!F97</f>
        <v>-1636.936859711946</v>
      </c>
      <c r="D33" s="276">
        <f>'Computations 2'!G97</f>
        <v>-30664.474249101899</v>
      </c>
      <c r="E33" s="276">
        <f>'Computations 2'!H97</f>
        <v>-81598.816003289467</v>
      </c>
      <c r="F33" s="276">
        <f>'Computations 2'!I97</f>
        <v>-175501.59859461949</v>
      </c>
      <c r="G33" s="276">
        <f>'Computations 2'!J97</f>
        <v>-313362.44845320261</v>
      </c>
      <c r="H33" s="276">
        <f>'Computations 2'!K97</f>
        <v>-520879.41529806366</v>
      </c>
    </row>
    <row r="34" spans="1:8" ht="3" customHeight="1" x14ac:dyDescent="0.25">
      <c r="A34" s="280"/>
      <c r="B34" s="241"/>
      <c r="C34" s="273"/>
      <c r="D34" s="273"/>
      <c r="E34" s="273"/>
      <c r="F34" s="273"/>
      <c r="G34" s="273"/>
      <c r="H34" s="273"/>
    </row>
    <row r="35" spans="1:8" ht="3" customHeight="1" x14ac:dyDescent="0.25">
      <c r="A35" s="281"/>
      <c r="B35" s="242"/>
      <c r="C35" s="274"/>
      <c r="D35" s="274"/>
      <c r="E35" s="274"/>
      <c r="F35" s="274"/>
      <c r="G35" s="274"/>
      <c r="H35" s="274"/>
    </row>
    <row r="36" spans="1:8" ht="12" x14ac:dyDescent="0.25">
      <c r="A36" s="243" t="s">
        <v>300</v>
      </c>
      <c r="B36" s="249"/>
      <c r="C36" s="283">
        <f t="shared" ref="C36:H36" ca="1" si="3">+SUM(C30:C34)</f>
        <v>609614.75440362934</v>
      </c>
      <c r="D36" s="283">
        <f t="shared" ca="1" si="3"/>
        <v>1137820.5851330075</v>
      </c>
      <c r="E36" s="283">
        <f t="shared" ca="1" si="3"/>
        <v>969412.8957573754</v>
      </c>
      <c r="F36" s="283">
        <f t="shared" ca="1" si="3"/>
        <v>313714.48407055438</v>
      </c>
      <c r="G36" s="283">
        <f t="shared" ca="1" si="3"/>
        <v>942615.78704782762</v>
      </c>
      <c r="H36" s="283">
        <f t="shared" ca="1" si="3"/>
        <v>-1021711.8564230893</v>
      </c>
    </row>
    <row r="37" spans="1:8" ht="3" customHeight="1" x14ac:dyDescent="0.25">
      <c r="A37" s="280"/>
      <c r="B37" s="241"/>
      <c r="C37" s="273"/>
      <c r="D37" s="273"/>
      <c r="E37" s="273"/>
      <c r="F37" s="273"/>
      <c r="G37" s="273"/>
      <c r="H37" s="273"/>
    </row>
    <row r="38" spans="1:8" ht="3" customHeight="1" x14ac:dyDescent="0.25">
      <c r="A38" s="281"/>
      <c r="B38" s="242"/>
      <c r="C38" s="274"/>
      <c r="D38" s="274"/>
      <c r="E38" s="274"/>
      <c r="F38" s="274"/>
      <c r="G38" s="274"/>
      <c r="H38" s="274"/>
    </row>
    <row r="39" spans="1:8" ht="12" x14ac:dyDescent="0.25">
      <c r="A39" s="246" t="s">
        <v>289</v>
      </c>
      <c r="B39" s="249"/>
      <c r="C39" s="283">
        <f t="shared" ref="C39:H39" ca="1" si="4">+C36+C27+C20</f>
        <v>692994.90431913652</v>
      </c>
      <c r="D39" s="283">
        <f t="shared" ca="1" si="4"/>
        <v>1110520.3892285523</v>
      </c>
      <c r="E39" s="283">
        <f t="shared" ca="1" si="4"/>
        <v>1244478.4665120828</v>
      </c>
      <c r="F39" s="283">
        <f t="shared" ca="1" si="4"/>
        <v>811321.79401719139</v>
      </c>
      <c r="G39" s="283">
        <f t="shared" ca="1" si="4"/>
        <v>6516319.5258945525</v>
      </c>
      <c r="H39" s="283">
        <f t="shared" ca="1" si="4"/>
        <v>3754707.287885665</v>
      </c>
    </row>
    <row r="40" spans="1:8" x14ac:dyDescent="0.2">
      <c r="A40" s="62"/>
      <c r="B40" s="248"/>
      <c r="C40" s="282"/>
      <c r="D40" s="282"/>
      <c r="E40" s="282"/>
      <c r="F40" s="282"/>
      <c r="G40" s="282"/>
      <c r="H40" s="282"/>
    </row>
    <row r="41" spans="1:8" ht="12" x14ac:dyDescent="0.25">
      <c r="A41" s="284" t="s">
        <v>301</v>
      </c>
      <c r="B41" s="248"/>
      <c r="C41" s="282"/>
      <c r="D41" s="282"/>
      <c r="E41" s="282"/>
      <c r="F41" s="282"/>
      <c r="G41" s="282"/>
      <c r="H41" s="282"/>
    </row>
    <row r="42" spans="1:8" x14ac:dyDescent="0.2">
      <c r="A42" s="245" t="s">
        <v>304</v>
      </c>
      <c r="B42" s="24"/>
      <c r="C42" s="276">
        <f>'Computations 2'!F103</f>
        <v>0</v>
      </c>
      <c r="D42" s="276">
        <f>'Computations 2'!G103</f>
        <v>400000</v>
      </c>
      <c r="E42" s="276">
        <f>'Computations 2'!H103</f>
        <v>400000</v>
      </c>
      <c r="F42" s="276">
        <f>'Computations 2'!I103</f>
        <v>400000</v>
      </c>
      <c r="G42" s="276">
        <f>'Computations 2'!J103</f>
        <v>800000</v>
      </c>
      <c r="H42" s="276">
        <f>'Computations 2'!K103</f>
        <v>800000</v>
      </c>
    </row>
    <row r="43" spans="1:8" x14ac:dyDescent="0.2">
      <c r="A43" s="245" t="s">
        <v>305</v>
      </c>
      <c r="B43" s="24"/>
      <c r="C43" s="276">
        <f>'Computations 2'!F104</f>
        <v>0</v>
      </c>
      <c r="D43" s="276">
        <f>'Computations 2'!G104</f>
        <v>3600000</v>
      </c>
      <c r="E43" s="276">
        <f>'Computations 2'!H104</f>
        <v>3600000</v>
      </c>
      <c r="F43" s="276">
        <f>'Computations 2'!I104</f>
        <v>3600000</v>
      </c>
      <c r="G43" s="276">
        <f>'Computations 2'!J104</f>
        <v>7200000</v>
      </c>
      <c r="H43" s="276">
        <f>'Computations 2'!K104</f>
        <v>7200000</v>
      </c>
    </row>
    <row r="44" spans="1:8" x14ac:dyDescent="0.2">
      <c r="A44" s="245" t="s">
        <v>306</v>
      </c>
      <c r="B44" s="24"/>
      <c r="C44" s="276">
        <f>'Computations 2'!F105</f>
        <v>0</v>
      </c>
      <c r="D44" s="276">
        <f ca="1">'Computations 2'!G105</f>
        <v>-1309969.4926329944</v>
      </c>
      <c r="E44" s="276">
        <f ca="1">'Computations 2'!H105</f>
        <v>-2378325.1476166975</v>
      </c>
      <c r="F44" s="276">
        <f ca="1">'Computations 2'!I105</f>
        <v>-2441565.4325973433</v>
      </c>
      <c r="G44" s="276">
        <f ca="1">'Computations 2'!J105</f>
        <v>-1463525.5570744444</v>
      </c>
      <c r="H44" s="276">
        <f ca="1">'Computations 2'!K105</f>
        <v>-790509.58449062146</v>
      </c>
    </row>
    <row r="45" spans="1:8" x14ac:dyDescent="0.2">
      <c r="A45" s="245" t="s">
        <v>307</v>
      </c>
      <c r="B45" s="24"/>
      <c r="C45" s="276">
        <f ca="1">'Computations 2'!F106</f>
        <v>-1309969.4926329944</v>
      </c>
      <c r="D45" s="276">
        <f ca="1">'Computations 2'!G106</f>
        <v>-1068355.6549837033</v>
      </c>
      <c r="E45" s="276">
        <f ca="1">'Computations 2'!H106</f>
        <v>-63240.284981188131</v>
      </c>
      <c r="F45" s="276">
        <f ca="1">'Computations 2'!I106</f>
        <v>978039.8755224417</v>
      </c>
      <c r="G45" s="276">
        <f ca="1">'Computations 2'!J106</f>
        <v>673015.97258229728</v>
      </c>
      <c r="H45" s="276">
        <f ca="1">'Computations 2'!K106</f>
        <v>639573.0051833475</v>
      </c>
    </row>
    <row r="46" spans="1:8" x14ac:dyDescent="0.2">
      <c r="A46" s="245" t="s">
        <v>308</v>
      </c>
      <c r="B46" s="24"/>
      <c r="C46" s="276">
        <f>'Computations 2'!F107</f>
        <v>0</v>
      </c>
      <c r="D46" s="276">
        <f ca="1">'Computations 2'!G107</f>
        <v>0</v>
      </c>
      <c r="E46" s="276">
        <f ca="1">'Computations 2'!H107</f>
        <v>0</v>
      </c>
      <c r="F46" s="276">
        <f ca="1">'Computations 2'!I107</f>
        <v>0</v>
      </c>
      <c r="G46" s="276">
        <f ca="1">'Computations 2'!J107</f>
        <v>-97803.987552244173</v>
      </c>
      <c r="H46" s="276">
        <f ca="1">'Computations 2'!K107</f>
        <v>-134603.19451645945</v>
      </c>
    </row>
    <row r="47" spans="1:8" ht="3" customHeight="1" x14ac:dyDescent="0.25">
      <c r="A47" s="280"/>
      <c r="B47" s="241"/>
      <c r="C47" s="273"/>
      <c r="D47" s="273"/>
      <c r="E47" s="273"/>
      <c r="F47" s="273"/>
      <c r="G47" s="273"/>
      <c r="H47" s="273"/>
    </row>
    <row r="48" spans="1:8" ht="3" customHeight="1" x14ac:dyDescent="0.25">
      <c r="A48" s="281"/>
      <c r="B48" s="242"/>
      <c r="C48" s="274"/>
      <c r="D48" s="274"/>
      <c r="E48" s="274"/>
      <c r="F48" s="274"/>
      <c r="G48" s="274"/>
      <c r="H48" s="274"/>
    </row>
    <row r="49" spans="1:8" ht="12" x14ac:dyDescent="0.25">
      <c r="A49" s="243" t="s">
        <v>302</v>
      </c>
      <c r="B49" s="244"/>
      <c r="C49" s="275">
        <f ca="1">+SUM(C42:C45)</f>
        <v>-1309969.4926329944</v>
      </c>
      <c r="D49" s="275">
        <f ca="1">+SUM(D42:D46)</f>
        <v>1621674.8523833023</v>
      </c>
      <c r="E49" s="275">
        <f ca="1">+SUM(E42:E46)</f>
        <v>1558434.5674021144</v>
      </c>
      <c r="F49" s="275">
        <f ca="1">+SUM(F42:F46)</f>
        <v>2536474.4429250984</v>
      </c>
      <c r="G49" s="275">
        <f ca="1">+SUM(G42:G46)</f>
        <v>7111686.4279556088</v>
      </c>
      <c r="H49" s="275">
        <f ca="1">+SUM(H42:H46)</f>
        <v>7714460.2261762666</v>
      </c>
    </row>
    <row r="50" spans="1:8" ht="3" customHeight="1" x14ac:dyDescent="0.25">
      <c r="A50" s="280"/>
      <c r="B50" s="241"/>
      <c r="C50" s="273"/>
      <c r="D50" s="273"/>
      <c r="E50" s="273"/>
      <c r="F50" s="273"/>
      <c r="G50" s="273"/>
      <c r="H50" s="273"/>
    </row>
    <row r="51" spans="1:8" ht="3" customHeight="1" x14ac:dyDescent="0.25">
      <c r="A51" s="281"/>
      <c r="B51" s="242"/>
      <c r="C51" s="274"/>
      <c r="D51" s="274"/>
      <c r="E51" s="274"/>
      <c r="F51" s="274"/>
      <c r="G51" s="274"/>
      <c r="H51" s="274"/>
    </row>
    <row r="52" spans="1:8" x14ac:dyDescent="0.2">
      <c r="A52" s="245" t="s">
        <v>309</v>
      </c>
      <c r="B52" s="24"/>
      <c r="C52" s="276">
        <f>'Computations 2'!F124</f>
        <v>0</v>
      </c>
      <c r="D52" s="276">
        <f>'Computations 2'!G124</f>
        <v>0</v>
      </c>
      <c r="E52" s="276">
        <f>'Computations 2'!H124</f>
        <v>0</v>
      </c>
      <c r="F52" s="276">
        <f>'Computations 2'!I124</f>
        <v>0</v>
      </c>
      <c r="G52" s="276">
        <f>'Computations 2'!J124</f>
        <v>0</v>
      </c>
      <c r="H52" s="276">
        <f>'Computations 2'!K124</f>
        <v>0</v>
      </c>
    </row>
    <row r="53" spans="1:8" x14ac:dyDescent="0.2">
      <c r="A53" s="245" t="s">
        <v>310</v>
      </c>
      <c r="B53" s="24"/>
      <c r="C53" s="276">
        <f ca="1">+' Cash Flow Statement'!B51</f>
        <v>2002964.3969521311</v>
      </c>
      <c r="D53" s="276">
        <f ca="1">+' Cash Flow Statement'!C51</f>
        <v>-511154.46315474971</v>
      </c>
      <c r="E53" s="276">
        <f ca="1">+' Cash Flow Statement'!D51</f>
        <v>-313956.10087572067</v>
      </c>
      <c r="F53" s="276">
        <f ca="1">+' Cash Flow Statement'!E51</f>
        <v>-1725152.6488810079</v>
      </c>
      <c r="G53" s="276">
        <f ca="1">+' Cash Flow Statement'!F51</f>
        <v>-595366.90204874962</v>
      </c>
      <c r="H53" s="276">
        <f ca="1">+' Cash Flow Statement'!G51</f>
        <v>-3959752.9383145147</v>
      </c>
    </row>
    <row r="54" spans="1:8" ht="3" customHeight="1" x14ac:dyDescent="0.25">
      <c r="A54" s="280"/>
      <c r="B54" s="241"/>
      <c r="C54" s="273"/>
      <c r="D54" s="273"/>
      <c r="E54" s="273"/>
      <c r="F54" s="273"/>
      <c r="G54" s="273"/>
      <c r="H54" s="273"/>
    </row>
    <row r="55" spans="1:8" ht="3" customHeight="1" x14ac:dyDescent="0.25">
      <c r="A55" s="281"/>
      <c r="B55" s="242"/>
      <c r="C55" s="274"/>
      <c r="D55" s="274"/>
      <c r="E55" s="274"/>
      <c r="F55" s="274"/>
      <c r="G55" s="274"/>
      <c r="H55" s="274"/>
    </row>
    <row r="56" spans="1:8" ht="12" x14ac:dyDescent="0.25">
      <c r="A56" s="243" t="s">
        <v>303</v>
      </c>
      <c r="B56" s="244"/>
      <c r="C56" s="275">
        <f t="shared" ref="C56:H56" ca="1" si="5">+C52+C53</f>
        <v>2002964.3969521311</v>
      </c>
      <c r="D56" s="275">
        <f t="shared" ca="1" si="5"/>
        <v>-511154.46315474971</v>
      </c>
      <c r="E56" s="275">
        <f t="shared" ca="1" si="5"/>
        <v>-313956.10087572067</v>
      </c>
      <c r="F56" s="275">
        <f t="shared" ca="1" si="5"/>
        <v>-1725152.6488810079</v>
      </c>
      <c r="G56" s="275">
        <f t="shared" ca="1" si="5"/>
        <v>-595366.90204874962</v>
      </c>
      <c r="H56" s="275">
        <f t="shared" ca="1" si="5"/>
        <v>-3959752.9383145147</v>
      </c>
    </row>
    <row r="57" spans="1:8" ht="3" customHeight="1" x14ac:dyDescent="0.25">
      <c r="A57" s="280"/>
      <c r="B57" s="241"/>
      <c r="C57" s="273"/>
      <c r="D57" s="273"/>
      <c r="E57" s="273"/>
      <c r="F57" s="273"/>
      <c r="G57" s="273"/>
      <c r="H57" s="273"/>
    </row>
    <row r="58" spans="1:8" ht="3" customHeight="1" x14ac:dyDescent="0.25">
      <c r="A58" s="281"/>
      <c r="B58" s="242"/>
      <c r="C58" s="274"/>
      <c r="D58" s="274"/>
      <c r="E58" s="274"/>
      <c r="F58" s="274"/>
      <c r="G58" s="274"/>
      <c r="H58" s="274"/>
    </row>
    <row r="59" spans="1:8" ht="12" x14ac:dyDescent="0.25">
      <c r="A59" s="246" t="s">
        <v>301</v>
      </c>
      <c r="B59" s="244"/>
      <c r="C59" s="275">
        <f t="shared" ref="C59:H59" ca="1" si="6">+C49+C56</f>
        <v>692994.90431913664</v>
      </c>
      <c r="D59" s="275">
        <f t="shared" ca="1" si="6"/>
        <v>1110520.3892285526</v>
      </c>
      <c r="E59" s="275">
        <f t="shared" ca="1" si="6"/>
        <v>1244478.4665263938</v>
      </c>
      <c r="F59" s="275">
        <f t="shared" ca="1" si="6"/>
        <v>811321.79404409043</v>
      </c>
      <c r="G59" s="275">
        <f t="shared" ca="1" si="6"/>
        <v>6516319.525906859</v>
      </c>
      <c r="H59" s="275">
        <f t="shared" ca="1" si="6"/>
        <v>3754707.2878617519</v>
      </c>
    </row>
    <row r="60" spans="1:8" x14ac:dyDescent="0.2">
      <c r="A60" s="75"/>
      <c r="B60" s="75"/>
      <c r="C60" s="76"/>
      <c r="D60" s="76"/>
      <c r="E60" s="76"/>
      <c r="F60" s="76"/>
      <c r="G60" s="76"/>
      <c r="H60" s="76"/>
    </row>
  </sheetData>
  <pageMargins left="0.74803149606299213" right="0.74803149606299213" top="0.98425196850393704" bottom="0.98425196850393704" header="0.51181102362204722" footer="0.51181102362204722"/>
  <pageSetup paperSize="9" scale="5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J84"/>
  <sheetViews>
    <sheetView showGridLines="0" zoomScaleNormal="100" workbookViewId="0">
      <selection activeCell="Q84" sqref="Q84"/>
    </sheetView>
  </sheetViews>
  <sheetFormatPr defaultRowHeight="11.4" outlineLevelCol="1" x14ac:dyDescent="0.2"/>
  <cols>
    <col min="1" max="1" width="41.375" customWidth="1"/>
    <col min="2" max="7" width="15.75" customWidth="1"/>
    <col min="8" max="14" width="9.125" hidden="1" customWidth="1" outlineLevel="1"/>
    <col min="15" max="15" width="9" collapsed="1"/>
  </cols>
  <sheetData>
    <row r="1" spans="1:36" ht="15" x14ac:dyDescent="0.25">
      <c r="A1" s="27"/>
      <c r="B1" s="36"/>
      <c r="C1" s="36"/>
      <c r="D1" s="36"/>
      <c r="E1" s="36"/>
      <c r="F1" s="36"/>
      <c r="G1" s="36"/>
      <c r="H1" s="36"/>
      <c r="I1" s="36"/>
      <c r="J1" s="36"/>
      <c r="K1" s="36"/>
      <c r="L1" s="36"/>
      <c r="M1" s="36"/>
      <c r="N1" s="36"/>
      <c r="O1" s="1"/>
      <c r="P1" s="1"/>
      <c r="Q1" s="1"/>
      <c r="R1" s="1"/>
      <c r="S1" s="1"/>
      <c r="T1" s="1"/>
      <c r="U1" s="1"/>
      <c r="V1" s="1"/>
      <c r="W1" s="1"/>
      <c r="X1" s="1"/>
      <c r="Y1" s="1"/>
      <c r="Z1" s="1"/>
      <c r="AA1" s="1"/>
      <c r="AB1" s="1"/>
      <c r="AC1" s="1"/>
      <c r="AD1" s="1"/>
      <c r="AE1" s="1"/>
      <c r="AF1" s="1"/>
      <c r="AG1" s="1"/>
      <c r="AH1" s="1"/>
      <c r="AI1" s="1"/>
      <c r="AJ1" s="1"/>
    </row>
    <row r="2" spans="1:36" ht="15.6" x14ac:dyDescent="0.3">
      <c r="A2" s="28" t="s">
        <v>179</v>
      </c>
      <c r="B2" s="37">
        <v>2021</v>
      </c>
      <c r="C2" s="37">
        <f t="shared" ref="C2:N2" si="0">+B2+1</f>
        <v>2022</v>
      </c>
      <c r="D2" s="37">
        <f t="shared" si="0"/>
        <v>2023</v>
      </c>
      <c r="E2" s="37">
        <f t="shared" si="0"/>
        <v>2024</v>
      </c>
      <c r="F2" s="37">
        <f t="shared" si="0"/>
        <v>2025</v>
      </c>
      <c r="G2" s="37">
        <f t="shared" si="0"/>
        <v>2026</v>
      </c>
      <c r="H2" s="37">
        <f t="shared" si="0"/>
        <v>2027</v>
      </c>
      <c r="I2" s="37">
        <f t="shared" si="0"/>
        <v>2028</v>
      </c>
      <c r="J2" s="37">
        <f t="shared" si="0"/>
        <v>2029</v>
      </c>
      <c r="K2" s="37">
        <f t="shared" si="0"/>
        <v>2030</v>
      </c>
      <c r="L2" s="37">
        <f t="shared" si="0"/>
        <v>2031</v>
      </c>
      <c r="M2" s="37">
        <f t="shared" si="0"/>
        <v>2032</v>
      </c>
      <c r="N2" s="37">
        <f t="shared" si="0"/>
        <v>2033</v>
      </c>
      <c r="O2" s="11"/>
      <c r="P2" s="11"/>
      <c r="Q2" s="11"/>
      <c r="R2" s="11"/>
      <c r="S2" s="11"/>
      <c r="T2" s="11"/>
      <c r="U2" s="11"/>
      <c r="V2" s="9"/>
      <c r="W2" s="9"/>
      <c r="X2" s="9"/>
      <c r="Y2" s="9"/>
      <c r="Z2" s="9"/>
      <c r="AA2" s="9"/>
      <c r="AB2" s="9"/>
      <c r="AC2" s="9"/>
      <c r="AD2" s="9"/>
      <c r="AE2" s="9"/>
      <c r="AF2" s="9"/>
      <c r="AG2" s="9"/>
      <c r="AH2" s="9"/>
      <c r="AI2" s="9"/>
      <c r="AJ2" s="9"/>
    </row>
    <row r="3" spans="1:36" x14ac:dyDescent="0.2">
      <c r="A3" s="29" t="str">
        <f>+A2</f>
        <v>Profit &amp; Loss Account</v>
      </c>
      <c r="B3" s="38"/>
      <c r="C3" s="38"/>
      <c r="D3" s="38"/>
      <c r="E3" s="38"/>
      <c r="F3" s="38"/>
      <c r="G3" s="38"/>
      <c r="H3" s="38" t="s">
        <v>27</v>
      </c>
      <c r="I3" s="38" t="s">
        <v>27</v>
      </c>
      <c r="J3" s="38" t="s">
        <v>27</v>
      </c>
      <c r="K3" s="38" t="s">
        <v>27</v>
      </c>
      <c r="L3" s="38" t="s">
        <v>27</v>
      </c>
      <c r="M3" s="38" t="s">
        <v>27</v>
      </c>
      <c r="N3" s="38" t="s">
        <v>27</v>
      </c>
      <c r="O3" s="7"/>
      <c r="P3" s="7"/>
      <c r="Q3" s="7"/>
      <c r="R3" s="7"/>
      <c r="S3" s="7"/>
      <c r="T3" s="7"/>
      <c r="U3" s="7"/>
      <c r="V3" s="9"/>
      <c r="W3" s="9"/>
      <c r="X3" s="9"/>
      <c r="Y3" s="9"/>
      <c r="Z3" s="9"/>
      <c r="AA3" s="9"/>
      <c r="AB3" s="9"/>
      <c r="AC3" s="9"/>
      <c r="AD3" s="9"/>
      <c r="AE3" s="9"/>
      <c r="AF3" s="9"/>
      <c r="AG3" s="9"/>
      <c r="AH3" s="9"/>
      <c r="AI3" s="9"/>
      <c r="AJ3" s="9"/>
    </row>
    <row r="4" spans="1:36" x14ac:dyDescent="0.2">
      <c r="A4" s="30"/>
      <c r="B4" s="38"/>
      <c r="C4" s="38"/>
      <c r="D4" s="38"/>
      <c r="E4" s="38"/>
      <c r="F4" s="38"/>
      <c r="G4" s="38"/>
      <c r="H4" s="38" t="s">
        <v>28</v>
      </c>
      <c r="I4" s="38" t="s">
        <v>28</v>
      </c>
      <c r="J4" s="38" t="s">
        <v>28</v>
      </c>
      <c r="K4" s="38" t="s">
        <v>28</v>
      </c>
      <c r="L4" s="38" t="s">
        <v>28</v>
      </c>
      <c r="M4" s="38" t="s">
        <v>28</v>
      </c>
      <c r="N4" s="38" t="s">
        <v>28</v>
      </c>
      <c r="O4" s="7"/>
      <c r="P4" s="7"/>
      <c r="Q4" s="7"/>
      <c r="R4" s="7"/>
      <c r="S4" s="7"/>
      <c r="T4" s="7"/>
      <c r="U4" s="7"/>
    </row>
    <row r="5" spans="1:36" x14ac:dyDescent="0.2">
      <c r="A5" s="31"/>
      <c r="B5" s="39"/>
      <c r="C5" s="39"/>
      <c r="D5" s="39"/>
      <c r="E5" s="39"/>
      <c r="F5" s="39"/>
      <c r="G5" s="39"/>
      <c r="H5" s="39"/>
      <c r="I5" s="39"/>
      <c r="J5" s="39"/>
      <c r="K5" s="39"/>
      <c r="L5" s="39"/>
      <c r="M5" s="39"/>
      <c r="N5" s="39"/>
      <c r="O5" s="10"/>
      <c r="P5" s="10"/>
      <c r="Q5" s="10"/>
      <c r="R5" s="10"/>
      <c r="S5" s="10"/>
      <c r="T5" s="10"/>
      <c r="U5" s="10"/>
    </row>
    <row r="6" spans="1:36" x14ac:dyDescent="0.2">
      <c r="A6" s="32" t="s">
        <v>351</v>
      </c>
      <c r="B6" s="39"/>
      <c r="C6" s="39"/>
      <c r="D6" s="39"/>
      <c r="E6" s="39"/>
      <c r="F6" s="39"/>
      <c r="G6" s="39"/>
      <c r="H6" s="39"/>
      <c r="I6" s="39"/>
      <c r="J6" s="39"/>
      <c r="K6" s="39"/>
      <c r="L6" s="39"/>
      <c r="M6" s="39"/>
      <c r="N6" s="39"/>
      <c r="O6" s="10"/>
      <c r="P6" s="10"/>
      <c r="Q6" s="10"/>
      <c r="R6" s="10"/>
      <c r="S6" s="10"/>
      <c r="T6" s="10"/>
      <c r="U6" s="10"/>
      <c r="V6" s="9"/>
      <c r="W6" s="9"/>
      <c r="X6" s="9"/>
      <c r="Y6" s="9"/>
      <c r="Z6" s="9"/>
      <c r="AA6" s="9"/>
      <c r="AB6" s="9"/>
      <c r="AC6" s="9"/>
      <c r="AD6" s="9"/>
      <c r="AE6" s="9"/>
      <c r="AF6" s="9"/>
      <c r="AG6" s="9"/>
      <c r="AH6" s="9"/>
      <c r="AI6" s="9"/>
      <c r="AJ6" s="9"/>
    </row>
    <row r="7" spans="1:36" x14ac:dyDescent="0.2">
      <c r="A7" s="32" t="s">
        <v>350</v>
      </c>
      <c r="B7" s="38"/>
      <c r="C7" s="38"/>
      <c r="D7" s="38"/>
      <c r="E7" s="38"/>
      <c r="F7" s="38"/>
      <c r="G7" s="38"/>
      <c r="H7" s="38"/>
      <c r="I7" s="38"/>
      <c r="J7" s="38"/>
      <c r="K7" s="38"/>
      <c r="L7" s="38"/>
      <c r="M7" s="38"/>
      <c r="N7" s="38"/>
      <c r="O7" s="7"/>
      <c r="P7" s="7"/>
      <c r="Q7" s="7"/>
      <c r="R7" s="7"/>
      <c r="S7" s="7"/>
      <c r="T7" s="7"/>
      <c r="U7" s="7"/>
      <c r="V7" s="9"/>
      <c r="W7" s="9"/>
      <c r="X7" s="9"/>
      <c r="Y7" s="9"/>
      <c r="Z7" s="9"/>
      <c r="AA7" s="9"/>
      <c r="AB7" s="9"/>
      <c r="AC7" s="9"/>
      <c r="AD7" s="9"/>
      <c r="AE7" s="9"/>
      <c r="AF7" s="9"/>
      <c r="AG7" s="9"/>
      <c r="AH7" s="9"/>
      <c r="AI7" s="9"/>
      <c r="AJ7" s="9"/>
    </row>
    <row r="8" spans="1:36" x14ac:dyDescent="0.2">
      <c r="B8" s="38"/>
      <c r="C8" s="38"/>
      <c r="D8" s="38"/>
      <c r="E8" s="38"/>
      <c r="F8" s="38"/>
      <c r="G8" s="38"/>
      <c r="H8" s="38"/>
      <c r="I8" s="38"/>
      <c r="J8" s="38"/>
      <c r="K8" s="38"/>
      <c r="L8" s="38"/>
      <c r="M8" s="38"/>
      <c r="N8" s="38"/>
      <c r="O8" s="7"/>
      <c r="P8" s="7"/>
      <c r="Q8" s="7"/>
      <c r="R8" s="7"/>
      <c r="S8" s="7"/>
      <c r="T8" s="7"/>
      <c r="U8" s="7"/>
      <c r="V8" s="9"/>
      <c r="W8" s="9"/>
      <c r="X8" s="9"/>
      <c r="Y8" s="9"/>
      <c r="Z8" s="9"/>
      <c r="AA8" s="9"/>
      <c r="AB8" s="9"/>
      <c r="AC8" s="9"/>
      <c r="AD8" s="9"/>
      <c r="AE8" s="9"/>
      <c r="AF8" s="9"/>
      <c r="AG8" s="9"/>
      <c r="AH8" s="9"/>
      <c r="AI8" s="9"/>
      <c r="AJ8" s="9"/>
    </row>
    <row r="9" spans="1:36" x14ac:dyDescent="0.2">
      <c r="B9" s="38"/>
      <c r="C9" s="38"/>
      <c r="D9" s="38"/>
      <c r="E9" s="38"/>
      <c r="F9" s="38"/>
      <c r="G9" s="38"/>
      <c r="H9" s="38"/>
      <c r="I9" s="38"/>
      <c r="J9" s="38"/>
      <c r="K9" s="38"/>
      <c r="L9" s="38"/>
      <c r="M9" s="38"/>
      <c r="N9" s="38"/>
      <c r="O9" s="7"/>
      <c r="P9" s="7"/>
      <c r="Q9" s="7"/>
      <c r="R9" s="7"/>
      <c r="S9" s="7"/>
      <c r="T9" s="7"/>
      <c r="U9" s="7"/>
    </row>
    <row r="10" spans="1:36" x14ac:dyDescent="0.2">
      <c r="B10" s="40"/>
      <c r="C10" s="40"/>
      <c r="D10" s="40"/>
      <c r="E10" s="40"/>
      <c r="F10" s="40"/>
      <c r="G10" s="40"/>
      <c r="H10" s="40"/>
      <c r="I10" s="40"/>
      <c r="J10" s="40"/>
      <c r="K10" s="40"/>
      <c r="L10" s="40"/>
      <c r="M10" s="40"/>
      <c r="N10" s="40"/>
    </row>
    <row r="11" spans="1:36" x14ac:dyDescent="0.2">
      <c r="B11" s="41"/>
      <c r="C11" s="41"/>
      <c r="D11" s="41"/>
      <c r="E11" s="41"/>
      <c r="F11" s="41"/>
      <c r="G11" s="41"/>
      <c r="H11" s="41"/>
      <c r="I11" s="41"/>
      <c r="J11" s="41"/>
      <c r="K11" s="41"/>
      <c r="L11" s="41"/>
      <c r="M11" s="41"/>
      <c r="N11" s="41"/>
      <c r="O11" s="5"/>
      <c r="P11" s="5"/>
      <c r="Q11" s="5"/>
      <c r="R11" s="5"/>
      <c r="S11" s="5"/>
      <c r="T11" s="5"/>
      <c r="U11" s="5"/>
      <c r="V11" s="5"/>
      <c r="W11" s="5"/>
      <c r="X11" s="5"/>
      <c r="Y11" s="5"/>
      <c r="Z11" s="5"/>
      <c r="AA11" s="5"/>
      <c r="AB11" s="5"/>
      <c r="AC11" s="5"/>
      <c r="AD11" s="5"/>
      <c r="AE11" s="5"/>
      <c r="AF11" s="5"/>
      <c r="AG11" s="5"/>
      <c r="AH11" s="5"/>
      <c r="AI11" s="5"/>
      <c r="AJ11" s="5"/>
    </row>
    <row r="12" spans="1:36" ht="12" x14ac:dyDescent="0.25">
      <c r="A12" s="247" t="s">
        <v>311</v>
      </c>
      <c r="B12" s="247">
        <f t="shared" ref="B12:G12" si="1">B2</f>
        <v>2021</v>
      </c>
      <c r="C12" s="247">
        <f t="shared" si="1"/>
        <v>2022</v>
      </c>
      <c r="D12" s="247">
        <f t="shared" si="1"/>
        <v>2023</v>
      </c>
      <c r="E12" s="247">
        <f t="shared" si="1"/>
        <v>2024</v>
      </c>
      <c r="F12" s="247">
        <f t="shared" si="1"/>
        <v>2025</v>
      </c>
      <c r="G12" s="247">
        <f t="shared" si="1"/>
        <v>2026</v>
      </c>
      <c r="H12" s="42"/>
      <c r="I12" s="42"/>
      <c r="J12" s="42"/>
      <c r="K12" s="42"/>
      <c r="L12" s="42"/>
      <c r="M12" s="42"/>
      <c r="N12" s="42"/>
    </row>
    <row r="13" spans="1:36" ht="3" customHeight="1" x14ac:dyDescent="0.25">
      <c r="A13" s="280"/>
      <c r="B13" s="273"/>
      <c r="C13" s="273"/>
      <c r="D13" s="273"/>
      <c r="E13" s="273"/>
      <c r="F13" s="273"/>
      <c r="G13" s="273"/>
      <c r="H13" s="41"/>
      <c r="I13" s="41"/>
      <c r="J13" s="41"/>
      <c r="K13" s="41"/>
      <c r="L13" s="41"/>
      <c r="M13" s="41"/>
      <c r="N13" s="41"/>
      <c r="O13" s="5"/>
      <c r="P13" s="5"/>
      <c r="Q13" s="5"/>
      <c r="R13" s="5"/>
      <c r="S13" s="5"/>
      <c r="T13" s="5"/>
      <c r="U13" s="5"/>
      <c r="V13" s="5"/>
      <c r="W13" s="5"/>
      <c r="X13" s="5"/>
      <c r="Y13" s="5"/>
      <c r="Z13" s="5"/>
      <c r="AA13" s="5"/>
      <c r="AB13" s="5"/>
      <c r="AC13" s="5"/>
      <c r="AD13" s="5"/>
      <c r="AE13" s="5"/>
      <c r="AF13" s="5"/>
      <c r="AG13" s="5"/>
      <c r="AH13" s="5"/>
      <c r="AI13" s="5"/>
      <c r="AJ13" s="5"/>
    </row>
    <row r="14" spans="1:36" ht="3" customHeight="1" x14ac:dyDescent="0.25">
      <c r="A14" s="281"/>
      <c r="B14" s="274"/>
      <c r="C14" s="274"/>
      <c r="D14" s="274"/>
      <c r="E14" s="274"/>
      <c r="F14" s="274"/>
      <c r="G14" s="274"/>
      <c r="H14" s="40"/>
      <c r="I14" s="40"/>
      <c r="J14" s="40"/>
      <c r="K14" s="40"/>
      <c r="L14" s="40"/>
      <c r="M14" s="40"/>
      <c r="N14" s="40"/>
    </row>
    <row r="15" spans="1:36" ht="12" x14ac:dyDescent="0.25">
      <c r="A15" s="243" t="s">
        <v>312</v>
      </c>
      <c r="B15" s="274">
        <f t="shared" ref="B15:G15" si="2">SUM(B18:B20)</f>
        <v>12366.66666666667</v>
      </c>
      <c r="C15" s="274">
        <f t="shared" si="2"/>
        <v>317367.64520382707</v>
      </c>
      <c r="D15" s="274">
        <f t="shared" si="2"/>
        <v>1655276.6144242198</v>
      </c>
      <c r="E15" s="274">
        <f t="shared" si="2"/>
        <v>3780285.0118999984</v>
      </c>
      <c r="F15" s="274">
        <f t="shared" si="2"/>
        <v>5712832.9752178695</v>
      </c>
      <c r="G15" s="274">
        <f t="shared" si="2"/>
        <v>7880964.8924947865</v>
      </c>
      <c r="H15" s="43">
        <f>'Computations 2'!L15</f>
        <v>0</v>
      </c>
      <c r="I15" s="43">
        <f>'Computations 2'!M15</f>
        <v>0</v>
      </c>
      <c r="J15" s="45">
        <f>'Computations 2'!N15</f>
        <v>0</v>
      </c>
      <c r="K15" s="43">
        <f>'Computations 2'!O15</f>
        <v>0</v>
      </c>
      <c r="L15" s="43">
        <f>'Computations 2'!P15</f>
        <v>0</v>
      </c>
      <c r="M15" s="43">
        <f>'Computations 2'!Q15</f>
        <v>0</v>
      </c>
      <c r="N15" s="45">
        <f>'Computations 2'!R15</f>
        <v>0</v>
      </c>
    </row>
    <row r="16" spans="1:36" ht="3" customHeight="1" x14ac:dyDescent="0.25">
      <c r="A16" s="280"/>
      <c r="B16" s="273"/>
      <c r="C16" s="273"/>
      <c r="D16" s="273"/>
      <c r="E16" s="273"/>
      <c r="F16" s="273"/>
      <c r="G16" s="273"/>
      <c r="H16" s="41"/>
      <c r="I16" s="41"/>
      <c r="J16" s="41"/>
      <c r="K16" s="41"/>
      <c r="L16" s="41"/>
      <c r="M16" s="41"/>
      <c r="N16" s="41"/>
      <c r="O16" s="5"/>
      <c r="P16" s="5"/>
      <c r="Q16" s="5"/>
      <c r="R16" s="5"/>
      <c r="S16" s="5"/>
      <c r="T16" s="5"/>
      <c r="U16" s="5"/>
      <c r="V16" s="5"/>
      <c r="W16" s="5"/>
      <c r="X16" s="5"/>
      <c r="Y16" s="5"/>
      <c r="Z16" s="5"/>
      <c r="AA16" s="5"/>
      <c r="AB16" s="5"/>
      <c r="AC16" s="5"/>
      <c r="AD16" s="5"/>
      <c r="AE16" s="5"/>
      <c r="AF16" s="5"/>
      <c r="AG16" s="5"/>
      <c r="AH16" s="5"/>
      <c r="AI16" s="5"/>
      <c r="AJ16" s="5"/>
    </row>
    <row r="17" spans="1:36" ht="3" customHeight="1" x14ac:dyDescent="0.25">
      <c r="A17" s="281"/>
      <c r="B17" s="274"/>
      <c r="C17" s="274"/>
      <c r="D17" s="274"/>
      <c r="E17" s="274"/>
      <c r="F17" s="274"/>
      <c r="G17" s="274"/>
      <c r="H17" s="40"/>
      <c r="I17" s="40"/>
      <c r="J17" s="40"/>
      <c r="K17" s="40"/>
      <c r="L17" s="40"/>
      <c r="M17" s="40"/>
      <c r="N17" s="40"/>
    </row>
    <row r="18" spans="1:36" x14ac:dyDescent="0.2">
      <c r="A18" s="245" t="s">
        <v>313</v>
      </c>
      <c r="B18" s="285">
        <f>'1.Revenues and Costs of Sales'!C12</f>
        <v>6666.6666666666697</v>
      </c>
      <c r="C18" s="285">
        <f>'1.Revenues and Costs of Sales'!D12</f>
        <v>181352.94011647263</v>
      </c>
      <c r="D18" s="285">
        <f>'1.Revenues and Costs of Sales'!E12</f>
        <v>945872.35109955433</v>
      </c>
      <c r="E18" s="285">
        <f>'1.Revenues and Costs of Sales'!F12</f>
        <v>2160162.8639428564</v>
      </c>
      <c r="F18" s="285">
        <f>'1.Revenues and Costs of Sales'!G12</f>
        <v>3264475.9858387834</v>
      </c>
      <c r="G18" s="285">
        <f>'1.Revenues and Costs of Sales'!H12</f>
        <v>4503408.5099970214</v>
      </c>
      <c r="H18" s="156"/>
      <c r="I18" s="156"/>
      <c r="J18" s="156"/>
      <c r="K18" s="156"/>
      <c r="L18" s="156"/>
      <c r="M18" s="156"/>
      <c r="N18" s="156"/>
    </row>
    <row r="19" spans="1:36" x14ac:dyDescent="0.2">
      <c r="A19" s="245" t="s">
        <v>314</v>
      </c>
      <c r="B19" s="285">
        <f>'1.Revenues and Costs of Sales'!C22</f>
        <v>1700</v>
      </c>
      <c r="C19" s="285">
        <f>'1.Revenues and Costs of Sales'!D22</f>
        <v>27202.941017470883</v>
      </c>
      <c r="D19" s="285">
        <f>'1.Revenues and Costs of Sales'!E22</f>
        <v>141880.8526649331</v>
      </c>
      <c r="E19" s="285">
        <f>'1.Revenues and Costs of Sales'!F22</f>
        <v>324024.42959142831</v>
      </c>
      <c r="F19" s="285">
        <f>'1.Revenues and Costs of Sales'!G22</f>
        <v>489671.39787581732</v>
      </c>
      <c r="G19" s="285">
        <f>'1.Revenues and Costs of Sales'!H22</f>
        <v>675511.276499553</v>
      </c>
      <c r="H19" s="47"/>
      <c r="I19" s="47"/>
      <c r="J19" s="47"/>
      <c r="K19" s="47"/>
      <c r="L19" s="47"/>
      <c r="M19" s="47"/>
      <c r="N19" s="47"/>
    </row>
    <row r="20" spans="1:36" x14ac:dyDescent="0.2">
      <c r="A20" s="245" t="s">
        <v>315</v>
      </c>
      <c r="B20" s="285">
        <f>'1.Revenues and Costs of Sales'!C32</f>
        <v>4000</v>
      </c>
      <c r="C20" s="285">
        <f>'1.Revenues and Costs of Sales'!D32</f>
        <v>108811.76406988353</v>
      </c>
      <c r="D20" s="285">
        <f>'1.Revenues and Costs of Sales'!E32</f>
        <v>567523.41065973241</v>
      </c>
      <c r="E20" s="285">
        <f>'1.Revenues and Costs of Sales'!F32</f>
        <v>1296097.7183657133</v>
      </c>
      <c r="F20" s="285">
        <f>'1.Revenues and Costs of Sales'!G32</f>
        <v>1958685.591503269</v>
      </c>
      <c r="G20" s="285">
        <f>'1.Revenues and Costs of Sales'!H32</f>
        <v>2702045.1059982125</v>
      </c>
      <c r="H20" s="155">
        <f>'1.Revenues and Costs of Sales'!I32</f>
        <v>0</v>
      </c>
      <c r="I20" s="155">
        <f>'1.Revenues and Costs of Sales'!J32</f>
        <v>0</v>
      </c>
      <c r="J20" s="155" t="str">
        <f>'1.Revenues and Costs of Sales'!K32</f>
        <v>CAGR 2021-2026</v>
      </c>
      <c r="K20" s="155">
        <f>'1.Revenues and Costs of Sales'!L32</f>
        <v>0</v>
      </c>
      <c r="L20" s="155">
        <f>'1.Revenues and Costs of Sales'!M32</f>
        <v>0</v>
      </c>
      <c r="M20" s="155">
        <f>'1.Revenues and Costs of Sales'!N32</f>
        <v>0</v>
      </c>
      <c r="N20" s="155">
        <f>'1.Revenues and Costs of Sales'!O32</f>
        <v>0</v>
      </c>
    </row>
    <row r="21" spans="1:36" ht="3" customHeight="1" x14ac:dyDescent="0.25">
      <c r="A21" s="280"/>
      <c r="B21" s="273"/>
      <c r="C21" s="273"/>
      <c r="D21" s="273"/>
      <c r="E21" s="273"/>
      <c r="F21" s="273"/>
      <c r="G21" s="273"/>
      <c r="H21" s="41"/>
      <c r="I21" s="41"/>
      <c r="J21" s="41"/>
      <c r="K21" s="41"/>
      <c r="L21" s="41"/>
      <c r="M21" s="41"/>
      <c r="N21" s="41"/>
      <c r="O21" s="5"/>
      <c r="P21" s="5"/>
      <c r="Q21" s="5"/>
      <c r="R21" s="5"/>
      <c r="S21" s="5"/>
      <c r="T21" s="5"/>
      <c r="U21" s="5"/>
      <c r="V21" s="5"/>
      <c r="W21" s="5"/>
      <c r="X21" s="5"/>
      <c r="Y21" s="5"/>
      <c r="Z21" s="5"/>
      <c r="AA21" s="5"/>
      <c r="AB21" s="5"/>
      <c r="AC21" s="5"/>
      <c r="AD21" s="5"/>
      <c r="AE21" s="5"/>
      <c r="AF21" s="5"/>
      <c r="AG21" s="5"/>
      <c r="AH21" s="5"/>
      <c r="AI21" s="5"/>
      <c r="AJ21" s="5"/>
    </row>
    <row r="22" spans="1:36" ht="3" customHeight="1" x14ac:dyDescent="0.25">
      <c r="A22" s="281"/>
      <c r="B22" s="274"/>
      <c r="C22" s="274"/>
      <c r="D22" s="274"/>
      <c r="E22" s="274"/>
      <c r="F22" s="274"/>
      <c r="G22" s="274"/>
      <c r="H22" s="40"/>
      <c r="I22" s="40"/>
      <c r="J22" s="40"/>
      <c r="K22" s="40"/>
      <c r="L22" s="40"/>
      <c r="M22" s="40"/>
      <c r="N22" s="40"/>
    </row>
    <row r="23" spans="1:36" s="19" customFormat="1" ht="12" x14ac:dyDescent="0.25">
      <c r="A23" s="243" t="s">
        <v>316</v>
      </c>
      <c r="B23" s="275">
        <f>SUM(B26:B28)</f>
        <v>-1120000</v>
      </c>
      <c r="C23" s="275">
        <f t="shared" ref="C23:N23" si="3">SUM(C26:C28)</f>
        <v>-1146426.9420616184</v>
      </c>
      <c r="D23" s="275">
        <f t="shared" si="3"/>
        <v>-1195165.5661096615</v>
      </c>
      <c r="E23" s="275">
        <f t="shared" si="3"/>
        <v>-1232350.1655100007</v>
      </c>
      <c r="F23" s="275">
        <f t="shared" si="3"/>
        <v>-1254818.8779259878</v>
      </c>
      <c r="G23" s="275">
        <f t="shared" si="3"/>
        <v>-1267121.0160474912</v>
      </c>
      <c r="H23" s="157" t="e">
        <f t="shared" si="3"/>
        <v>#REF!</v>
      </c>
      <c r="I23" s="157" t="e">
        <f t="shared" si="3"/>
        <v>#REF!</v>
      </c>
      <c r="J23" s="157" t="e">
        <f t="shared" si="3"/>
        <v>#REF!</v>
      </c>
      <c r="K23" s="157" t="e">
        <f t="shared" si="3"/>
        <v>#REF!</v>
      </c>
      <c r="L23" s="157" t="e">
        <f t="shared" si="3"/>
        <v>#REF!</v>
      </c>
      <c r="M23" s="157" t="e">
        <f t="shared" si="3"/>
        <v>#REF!</v>
      </c>
      <c r="N23" s="157" t="e">
        <f t="shared" si="3"/>
        <v>#REF!</v>
      </c>
      <c r="Q23" s="158"/>
      <c r="R23" s="160"/>
      <c r="S23" s="161"/>
      <c r="T23" s="161"/>
      <c r="U23" s="161"/>
      <c r="V23" s="160"/>
    </row>
    <row r="24" spans="1:36" ht="3" customHeight="1" x14ac:dyDescent="0.25">
      <c r="A24" s="280"/>
      <c r="B24" s="273"/>
      <c r="C24" s="273"/>
      <c r="D24" s="273"/>
      <c r="E24" s="273"/>
      <c r="F24" s="273"/>
      <c r="G24" s="273"/>
      <c r="H24" s="41"/>
      <c r="I24" s="41"/>
      <c r="J24" s="41"/>
      <c r="K24" s="41"/>
      <c r="L24" s="41"/>
      <c r="M24" s="41"/>
      <c r="N24" s="41"/>
      <c r="O24" s="5"/>
      <c r="P24" s="5"/>
      <c r="Q24" s="5"/>
      <c r="R24" s="5"/>
      <c r="S24" s="5"/>
      <c r="T24" s="5"/>
      <c r="U24" s="5"/>
      <c r="V24" s="5"/>
      <c r="W24" s="5"/>
      <c r="X24" s="5"/>
      <c r="Y24" s="5"/>
      <c r="Z24" s="5"/>
      <c r="AA24" s="5"/>
      <c r="AB24" s="5"/>
      <c r="AC24" s="5"/>
      <c r="AD24" s="5"/>
      <c r="AE24" s="5"/>
      <c r="AF24" s="5"/>
      <c r="AG24" s="5"/>
      <c r="AH24" s="5"/>
      <c r="AI24" s="5"/>
      <c r="AJ24" s="5"/>
    </row>
    <row r="25" spans="1:36" ht="3" customHeight="1" x14ac:dyDescent="0.25">
      <c r="A25" s="281"/>
      <c r="B25" s="274"/>
      <c r="C25" s="274"/>
      <c r="D25" s="274"/>
      <c r="E25" s="274"/>
      <c r="F25" s="274"/>
      <c r="G25" s="274"/>
      <c r="H25" s="40"/>
      <c r="I25" s="40"/>
      <c r="J25" s="40"/>
      <c r="K25" s="40"/>
      <c r="L25" s="40"/>
      <c r="M25" s="40"/>
      <c r="N25" s="40"/>
    </row>
    <row r="26" spans="1:36" x14ac:dyDescent="0.2">
      <c r="A26" s="245" t="s">
        <v>317</v>
      </c>
      <c r="B26" s="285">
        <f>-'Computations 1'!G19</f>
        <v>-100000</v>
      </c>
      <c r="C26" s="285">
        <f>-'Computations 1'!H19</f>
        <v>-200742.62128407112</v>
      </c>
      <c r="D26" s="285">
        <f>-'Computations 1'!I19</f>
        <v>-284419.51155743492</v>
      </c>
      <c r="E26" s="285">
        <f>-'Computations 1'!J19</f>
        <v>-338547.24498859665</v>
      </c>
      <c r="F26" s="285">
        <f>-'Computations 1'!K19</f>
        <v>-369359.46528622322</v>
      </c>
      <c r="G26" s="285">
        <f>-'Computations 1'!L19</f>
        <v>-385801.76241585665</v>
      </c>
      <c r="H26" s="156">
        <f>-'Computations 1'!L19</f>
        <v>-385801.76241585665</v>
      </c>
      <c r="I26" s="156" t="e">
        <f>-'Computations 1'!#REF!</f>
        <v>#REF!</v>
      </c>
      <c r="J26" s="156" t="e">
        <f>-'Computations 1'!#REF!</f>
        <v>#REF!</v>
      </c>
      <c r="K26" s="156" t="e">
        <f>-'Computations 1'!#REF!</f>
        <v>#REF!</v>
      </c>
      <c r="L26" s="156" t="e">
        <f>-'Computations 1'!#REF!</f>
        <v>#REF!</v>
      </c>
      <c r="M26" s="156" t="e">
        <f>-'Computations 1'!#REF!</f>
        <v>#REF!</v>
      </c>
      <c r="N26" s="156" t="e">
        <f>-'Computations 1'!#REF!</f>
        <v>#REF!</v>
      </c>
    </row>
    <row r="27" spans="1:36" x14ac:dyDescent="0.2">
      <c r="A27" s="245" t="s">
        <v>319</v>
      </c>
      <c r="B27" s="285">
        <f>-'Computations 1'!G20</f>
        <v>-120000</v>
      </c>
      <c r="C27" s="285">
        <f>-'Computations 1'!H20</f>
        <v>-104613.57464497616</v>
      </c>
      <c r="D27" s="285">
        <f>-'Computations 1'!I20</f>
        <v>-97676.803836027655</v>
      </c>
      <c r="E27" s="285">
        <f>-'Computations 1'!J20</f>
        <v>-94382.861314148147</v>
      </c>
      <c r="F27" s="285">
        <f>-'Computations 1'!K20</f>
        <v>-92777.782641375466</v>
      </c>
      <c r="G27" s="285">
        <f>-'Computations 1'!L20</f>
        <v>-91985.508515708294</v>
      </c>
      <c r="H27" s="47" t="e">
        <f>-'Computations 1'!#REF!</f>
        <v>#REF!</v>
      </c>
      <c r="I27" s="47" t="e">
        <f>-'Computations 1'!#REF!</f>
        <v>#REF!</v>
      </c>
      <c r="J27" s="47" t="e">
        <f>-'Computations 1'!#REF!</f>
        <v>#REF!</v>
      </c>
      <c r="K27" s="47" t="e">
        <f>-'Computations 1'!#REF!</f>
        <v>#REF!</v>
      </c>
      <c r="L27" s="47" t="e">
        <f>-'Computations 1'!#REF!</f>
        <v>#REF!</v>
      </c>
      <c r="M27" s="47" t="e">
        <f>-'Computations 1'!#REF!</f>
        <v>#REF!</v>
      </c>
      <c r="N27" s="47" t="e">
        <f>-'Computations 1'!#REF!</f>
        <v>#REF!</v>
      </c>
    </row>
    <row r="28" spans="1:36" x14ac:dyDescent="0.2">
      <c r="A28" s="245" t="s">
        <v>318</v>
      </c>
      <c r="B28" s="285">
        <f>-'Computations 1'!G21</f>
        <v>-900000</v>
      </c>
      <c r="C28" s="285">
        <f>-'Computations 1'!H21</f>
        <v>-841070.74613257113</v>
      </c>
      <c r="D28" s="285">
        <f>-'Computations 1'!I21</f>
        <v>-813069.25071619882</v>
      </c>
      <c r="E28" s="285">
        <f>-'Computations 1'!J21</f>
        <v>-799420.05920725572</v>
      </c>
      <c r="F28" s="285">
        <f>-'Computations 1'!K21</f>
        <v>-792681.62999838905</v>
      </c>
      <c r="G28" s="285">
        <f>-'Computations 1'!L21</f>
        <v>-789333.74511592614</v>
      </c>
      <c r="H28" s="48"/>
      <c r="I28" s="48"/>
      <c r="J28" s="48"/>
      <c r="K28" s="48"/>
      <c r="L28" s="48"/>
      <c r="M28" s="48"/>
      <c r="N28" s="48"/>
    </row>
    <row r="29" spans="1:36" ht="3" customHeight="1" x14ac:dyDescent="0.25">
      <c r="A29" s="280"/>
      <c r="B29" s="273"/>
      <c r="C29" s="273"/>
      <c r="D29" s="273"/>
      <c r="E29" s="273"/>
      <c r="F29" s="273"/>
      <c r="G29" s="273"/>
      <c r="H29" s="41"/>
      <c r="I29" s="41"/>
      <c r="J29" s="41"/>
      <c r="K29" s="41"/>
      <c r="L29" s="41"/>
      <c r="M29" s="41"/>
      <c r="N29" s="41"/>
      <c r="O29" s="5"/>
      <c r="P29" s="5"/>
      <c r="Q29" s="5"/>
      <c r="R29" s="5"/>
      <c r="S29" s="5"/>
      <c r="T29" s="5"/>
      <c r="U29" s="5"/>
      <c r="V29" s="5"/>
      <c r="W29" s="5"/>
      <c r="X29" s="5"/>
      <c r="Y29" s="5"/>
      <c r="Z29" s="5"/>
      <c r="AA29" s="5"/>
      <c r="AB29" s="5"/>
      <c r="AC29" s="5"/>
      <c r="AD29" s="5"/>
      <c r="AE29" s="5"/>
      <c r="AF29" s="5"/>
      <c r="AG29" s="5"/>
      <c r="AH29" s="5"/>
      <c r="AI29" s="5"/>
      <c r="AJ29" s="5"/>
    </row>
    <row r="30" spans="1:36" ht="3" customHeight="1" x14ac:dyDescent="0.25">
      <c r="A30" s="281"/>
      <c r="B30" s="274"/>
      <c r="C30" s="274"/>
      <c r="D30" s="274"/>
      <c r="E30" s="274"/>
      <c r="F30" s="274"/>
      <c r="G30" s="274"/>
      <c r="H30" s="40"/>
      <c r="I30" s="40"/>
      <c r="J30" s="40"/>
      <c r="K30" s="40"/>
      <c r="L30" s="40"/>
      <c r="M30" s="40"/>
      <c r="N30" s="40"/>
    </row>
    <row r="31" spans="1:36" s="19" customFormat="1" ht="12" x14ac:dyDescent="0.25">
      <c r="A31" s="243" t="s">
        <v>320</v>
      </c>
      <c r="B31" s="275">
        <f t="shared" ref="B31:G31" ca="1" si="4">SUM(B34:B36)</f>
        <v>-28501.53592567618</v>
      </c>
      <c r="C31" s="275">
        <f t="shared" ca="1" si="4"/>
        <v>-484526.11073649512</v>
      </c>
      <c r="D31" s="275">
        <f t="shared" ca="1" si="4"/>
        <v>-618893.81194148271</v>
      </c>
      <c r="E31" s="275">
        <f t="shared" ca="1" si="4"/>
        <v>-1137445.8848214734</v>
      </c>
      <c r="F31" s="275">
        <f t="shared" ca="1" si="4"/>
        <v>-1855374.6386531533</v>
      </c>
      <c r="G31" s="275">
        <f t="shared" ca="1" si="4"/>
        <v>-3621614.4458530974</v>
      </c>
      <c r="H31" s="43">
        <f>'Computations 2'!K22</f>
        <v>-3603623.4761496386</v>
      </c>
      <c r="I31" s="43" t="e">
        <f>'Computations 2'!#REF!</f>
        <v>#REF!</v>
      </c>
      <c r="J31" s="43" t="e">
        <f>'Computations 2'!#REF!</f>
        <v>#REF!</v>
      </c>
      <c r="K31" s="43" t="e">
        <f>'Computations 2'!#REF!</f>
        <v>#REF!</v>
      </c>
      <c r="L31" s="43" t="e">
        <f>'Computations 2'!#REF!</f>
        <v>#REF!</v>
      </c>
      <c r="M31" s="43" t="e">
        <f>'Computations 2'!#REF!</f>
        <v>#REF!</v>
      </c>
      <c r="N31" s="43" t="e">
        <f>'Computations 2'!#REF!</f>
        <v>#REF!</v>
      </c>
      <c r="P31" s="158"/>
      <c r="Q31" s="158"/>
      <c r="R31" s="158"/>
      <c r="S31" s="158"/>
    </row>
    <row r="32" spans="1:36" ht="3" customHeight="1" x14ac:dyDescent="0.25">
      <c r="A32" s="280"/>
      <c r="B32" s="273"/>
      <c r="C32" s="273"/>
      <c r="D32" s="273"/>
      <c r="E32" s="273"/>
      <c r="F32" s="273"/>
      <c r="G32" s="273"/>
      <c r="H32" s="41"/>
      <c r="I32" s="41"/>
      <c r="J32" s="41"/>
      <c r="K32" s="41"/>
      <c r="L32" s="41"/>
      <c r="M32" s="41"/>
      <c r="N32" s="41"/>
      <c r="O32" s="5"/>
      <c r="P32" s="5"/>
      <c r="Q32" s="5"/>
      <c r="R32" s="5"/>
      <c r="S32" s="5"/>
      <c r="T32" s="5"/>
      <c r="U32" s="5"/>
      <c r="V32" s="5"/>
      <c r="W32" s="5"/>
      <c r="X32" s="5"/>
      <c r="Y32" s="5"/>
      <c r="Z32" s="5"/>
      <c r="AA32" s="5"/>
      <c r="AB32" s="5"/>
      <c r="AC32" s="5"/>
      <c r="AD32" s="5"/>
      <c r="AE32" s="5"/>
      <c r="AF32" s="5"/>
      <c r="AG32" s="5"/>
      <c r="AH32" s="5"/>
      <c r="AI32" s="5"/>
      <c r="AJ32" s="5"/>
    </row>
    <row r="33" spans="1:36" ht="3" customHeight="1" x14ac:dyDescent="0.25">
      <c r="A33" s="281"/>
      <c r="B33" s="274"/>
      <c r="C33" s="274"/>
      <c r="D33" s="274"/>
      <c r="E33" s="274"/>
      <c r="F33" s="274"/>
      <c r="G33" s="274"/>
      <c r="H33" s="40"/>
      <c r="I33" s="40"/>
      <c r="J33" s="40"/>
      <c r="K33" s="40"/>
      <c r="L33" s="40"/>
      <c r="M33" s="40"/>
      <c r="N33" s="40"/>
    </row>
    <row r="34" spans="1:36" x14ac:dyDescent="0.2">
      <c r="A34" s="245" t="s">
        <v>321</v>
      </c>
      <c r="B34" s="285">
        <f>-'Computations 1'!G24</f>
        <v>-20229.265003371544</v>
      </c>
      <c r="C34" s="285">
        <f>-'Computations 1'!H24</f>
        <v>-343897.50505731622</v>
      </c>
      <c r="D34" s="285">
        <f>-'Computations 1'!I24</f>
        <v>-439266.39474304125</v>
      </c>
      <c r="E34" s="285">
        <f>-'Computations 1'!J24</f>
        <v>-746091.92224657699</v>
      </c>
      <c r="F34" s="285">
        <f>-'Computations 1'!K24</f>
        <v>-1295743.2750407057</v>
      </c>
      <c r="G34" s="285">
        <f>-'Computations 1'!L24</f>
        <v>-2429955.1423800667</v>
      </c>
      <c r="H34" s="48"/>
      <c r="I34" s="48"/>
      <c r="J34" s="48"/>
      <c r="K34" s="48"/>
      <c r="L34" s="48"/>
      <c r="M34" s="48"/>
      <c r="N34" s="48"/>
      <c r="P34" s="18"/>
      <c r="Q34" s="18"/>
      <c r="R34" s="18"/>
      <c r="S34" s="18"/>
    </row>
    <row r="35" spans="1:36" x14ac:dyDescent="0.2">
      <c r="A35" s="245" t="s">
        <v>322</v>
      </c>
      <c r="B35" s="285">
        <f>-'Computations 1'!G26</f>
        <v>-8272.2709223046386</v>
      </c>
      <c r="C35" s="285">
        <f>-'Computations 1'!H26</f>
        <v>-140628.60567917887</v>
      </c>
      <c r="D35" s="285">
        <f>-'Computations 1'!I26</f>
        <v>-179627.41719844149</v>
      </c>
      <c r="E35" s="285">
        <f>-'Computations 1'!J26</f>
        <v>-305096.33013053547</v>
      </c>
      <c r="F35" s="285">
        <f>-'Computations 1'!K26</f>
        <v>-529863.01850831241</v>
      </c>
      <c r="G35" s="285">
        <f>-'Computations 1'!L26</f>
        <v>-993671.65655623388</v>
      </c>
      <c r="H35" s="48"/>
      <c r="I35" s="48"/>
      <c r="J35" s="48"/>
      <c r="K35" s="48"/>
      <c r="L35" s="48"/>
      <c r="M35" s="48"/>
      <c r="N35" s="48"/>
      <c r="P35" s="18"/>
      <c r="Q35" s="18"/>
      <c r="R35" s="18"/>
      <c r="S35" s="18"/>
    </row>
    <row r="36" spans="1:36" x14ac:dyDescent="0.2">
      <c r="A36" s="245" t="s">
        <v>323</v>
      </c>
      <c r="B36" s="285">
        <f ca="1">'Computations 2'!F23</f>
        <v>0</v>
      </c>
      <c r="C36" s="285">
        <f ca="1">'Computations 2'!G23</f>
        <v>0</v>
      </c>
      <c r="D36" s="285">
        <f ca="1">'Computations 2'!H23</f>
        <v>0</v>
      </c>
      <c r="E36" s="285">
        <f ca="1">'Computations 2'!I23</f>
        <v>-86257.632444050396</v>
      </c>
      <c r="F36" s="285">
        <f ca="1">'Computations 2'!J23</f>
        <v>-29768.345102437481</v>
      </c>
      <c r="G36" s="285">
        <f ca="1">'Computations 2'!K23</f>
        <v>-197987.64691572575</v>
      </c>
      <c r="H36" s="48"/>
      <c r="I36" s="48"/>
      <c r="J36" s="48"/>
      <c r="K36" s="48"/>
      <c r="L36" s="48"/>
      <c r="M36" s="48"/>
      <c r="N36" s="48"/>
      <c r="P36" s="18"/>
      <c r="Q36" s="18"/>
      <c r="R36" s="18"/>
      <c r="S36" s="18"/>
    </row>
    <row r="37" spans="1:36" ht="3" customHeight="1" x14ac:dyDescent="0.25">
      <c r="A37" s="280"/>
      <c r="B37" s="273"/>
      <c r="C37" s="273"/>
      <c r="D37" s="273"/>
      <c r="E37" s="273"/>
      <c r="F37" s="273"/>
      <c r="G37" s="273"/>
      <c r="H37" s="41"/>
      <c r="I37" s="41"/>
      <c r="J37" s="41"/>
      <c r="K37" s="41"/>
      <c r="L37" s="41"/>
      <c r="M37" s="41"/>
      <c r="N37" s="41"/>
      <c r="O37" s="5"/>
      <c r="P37" s="5"/>
      <c r="Q37" s="5"/>
      <c r="R37" s="5"/>
      <c r="S37" s="5"/>
      <c r="T37" s="5"/>
      <c r="U37" s="5"/>
      <c r="V37" s="5"/>
      <c r="W37" s="5"/>
      <c r="X37" s="5"/>
      <c r="Y37" s="5"/>
      <c r="Z37" s="5"/>
      <c r="AA37" s="5"/>
      <c r="AB37" s="5"/>
      <c r="AC37" s="5"/>
      <c r="AD37" s="5"/>
      <c r="AE37" s="5"/>
      <c r="AF37" s="5"/>
      <c r="AG37" s="5"/>
      <c r="AH37" s="5"/>
      <c r="AI37" s="5"/>
      <c r="AJ37" s="5"/>
    </row>
    <row r="38" spans="1:36" ht="3" customHeight="1" x14ac:dyDescent="0.25">
      <c r="A38" s="281"/>
      <c r="B38" s="274"/>
      <c r="C38" s="274"/>
      <c r="D38" s="274"/>
      <c r="E38" s="274"/>
      <c r="F38" s="274"/>
      <c r="G38" s="274"/>
      <c r="H38" s="40"/>
      <c r="I38" s="40"/>
      <c r="J38" s="40"/>
      <c r="K38" s="40"/>
      <c r="L38" s="40"/>
      <c r="M38" s="40"/>
      <c r="N38" s="40"/>
    </row>
    <row r="39" spans="1:36" s="19" customFormat="1" ht="12" x14ac:dyDescent="0.25">
      <c r="A39" s="243" t="s">
        <v>324</v>
      </c>
      <c r="B39" s="275">
        <f t="shared" ref="B39:G39" si="5">SUM(B42:B50)</f>
        <v>-23000</v>
      </c>
      <c r="C39" s="275">
        <f t="shared" si="5"/>
        <v>-34515.774839171805</v>
      </c>
      <c r="D39" s="275">
        <f t="shared" si="5"/>
        <v>-143843.5377934647</v>
      </c>
      <c r="E39" s="275">
        <f t="shared" si="5"/>
        <v>-328506.76753410976</v>
      </c>
      <c r="F39" s="275">
        <f t="shared" si="5"/>
        <v>-382188.52604207548</v>
      </c>
      <c r="G39" s="275">
        <f t="shared" si="5"/>
        <v>-527236.55130790116</v>
      </c>
      <c r="H39" s="43">
        <f>'Computations 2'!K25</f>
        <v>-527236.55130790116</v>
      </c>
      <c r="I39" s="43" t="e">
        <f>'Computations 2'!#REF!</f>
        <v>#REF!</v>
      </c>
      <c r="J39" s="43" t="e">
        <f>'Computations 2'!#REF!</f>
        <v>#REF!</v>
      </c>
      <c r="K39" s="43" t="e">
        <f>'Computations 2'!#REF!</f>
        <v>#REF!</v>
      </c>
      <c r="L39" s="43" t="e">
        <f>'Computations 2'!#REF!</f>
        <v>#REF!</v>
      </c>
      <c r="M39" s="43" t="e">
        <f>'Computations 2'!#REF!</f>
        <v>#REF!</v>
      </c>
      <c r="N39" s="43" t="e">
        <f>'Computations 2'!#REF!</f>
        <v>#REF!</v>
      </c>
    </row>
    <row r="40" spans="1:36" ht="3" customHeight="1" x14ac:dyDescent="0.25">
      <c r="A40" s="280"/>
      <c r="B40" s="273"/>
      <c r="C40" s="273"/>
      <c r="D40" s="273"/>
      <c r="E40" s="273"/>
      <c r="F40" s="273"/>
      <c r="G40" s="273"/>
      <c r="H40" s="41"/>
      <c r="I40" s="41"/>
      <c r="J40" s="41"/>
      <c r="K40" s="41"/>
      <c r="L40" s="41"/>
      <c r="M40" s="41"/>
      <c r="N40" s="41"/>
      <c r="O40" s="5"/>
      <c r="P40" s="5"/>
      <c r="Q40" s="5"/>
      <c r="R40" s="5"/>
      <c r="S40" s="5"/>
      <c r="T40" s="5"/>
      <c r="U40" s="5"/>
      <c r="V40" s="5"/>
      <c r="W40" s="5"/>
      <c r="X40" s="5"/>
      <c r="Y40" s="5"/>
      <c r="Z40" s="5"/>
      <c r="AA40" s="5"/>
      <c r="AB40" s="5"/>
      <c r="AC40" s="5"/>
      <c r="AD40" s="5"/>
      <c r="AE40" s="5"/>
      <c r="AF40" s="5"/>
      <c r="AG40" s="5"/>
      <c r="AH40" s="5"/>
      <c r="AI40" s="5"/>
      <c r="AJ40" s="5"/>
    </row>
    <row r="41" spans="1:36" ht="3" customHeight="1" x14ac:dyDescent="0.25">
      <c r="A41" s="281"/>
      <c r="B41" s="274"/>
      <c r="C41" s="274"/>
      <c r="D41" s="274"/>
      <c r="E41" s="274"/>
      <c r="F41" s="274"/>
      <c r="G41" s="274"/>
      <c r="H41" s="40"/>
      <c r="I41" s="40"/>
      <c r="J41" s="40"/>
      <c r="K41" s="40"/>
      <c r="L41" s="40"/>
      <c r="M41" s="40"/>
      <c r="N41" s="40"/>
    </row>
    <row r="42" spans="1:36" x14ac:dyDescent="0.2">
      <c r="A42" s="245" t="s">
        <v>330</v>
      </c>
      <c r="B42" s="285">
        <f>-'Computations 1'!G32</f>
        <v>0</v>
      </c>
      <c r="C42" s="285">
        <f>-'Computations 1'!H32</f>
        <v>-7000</v>
      </c>
      <c r="D42" s="285">
        <f>-'Computations 1'!I32</f>
        <v>0</v>
      </c>
      <c r="E42" s="285">
        <f>-'Computations 1'!J32</f>
        <v>0</v>
      </c>
      <c r="F42" s="285">
        <f>-'Computations 1'!K32</f>
        <v>0</v>
      </c>
      <c r="G42" s="285">
        <f>-'Computations 1'!L32</f>
        <v>0</v>
      </c>
      <c r="H42" s="155">
        <f>-'Computations 1'!L32</f>
        <v>0</v>
      </c>
      <c r="I42" s="155" t="e">
        <f>-'Computations 1'!#REF!</f>
        <v>#REF!</v>
      </c>
      <c r="J42" s="155" t="e">
        <f>-'Computations 1'!#REF!</f>
        <v>#REF!</v>
      </c>
      <c r="K42" s="155" t="e">
        <f>-'Computations 1'!#REF!</f>
        <v>#REF!</v>
      </c>
      <c r="L42" s="155" t="e">
        <f>-'Computations 1'!#REF!</f>
        <v>#REF!</v>
      </c>
      <c r="M42" s="155" t="e">
        <f>-'Computations 1'!#REF!</f>
        <v>#REF!</v>
      </c>
      <c r="N42" s="155" t="e">
        <f>-'Computations 1'!#REF!</f>
        <v>#REF!</v>
      </c>
    </row>
    <row r="43" spans="1:36" x14ac:dyDescent="0.2">
      <c r="A43" s="245" t="s">
        <v>331</v>
      </c>
      <c r="B43" s="285">
        <f>-'Computations 1'!G33</f>
        <v>0</v>
      </c>
      <c r="C43" s="285">
        <f>-'Computations 1'!H33</f>
        <v>0</v>
      </c>
      <c r="D43" s="285">
        <f>-'Computations 1'!I33</f>
        <v>-165.52766144242199</v>
      </c>
      <c r="E43" s="285">
        <f>-'Computations 1'!J33</f>
        <v>-378.02850118999982</v>
      </c>
      <c r="F43" s="285">
        <f>-'Computations 1'!K33</f>
        <v>-571.28329752178695</v>
      </c>
      <c r="G43" s="285">
        <f>-'Computations 1'!L33</f>
        <v>-788.09648924947874</v>
      </c>
      <c r="H43" s="155">
        <f>-'Computations 1'!L33</f>
        <v>-788.09648924947874</v>
      </c>
      <c r="I43" s="155" t="e">
        <f>-'Computations 1'!#REF!</f>
        <v>#REF!</v>
      </c>
      <c r="J43" s="155" t="e">
        <f>-'Computations 1'!#REF!</f>
        <v>#REF!</v>
      </c>
      <c r="K43" s="155" t="e">
        <f>-'Computations 1'!#REF!</f>
        <v>#REF!</v>
      </c>
      <c r="L43" s="155" t="e">
        <f>-'Computations 1'!#REF!</f>
        <v>#REF!</v>
      </c>
      <c r="M43" s="155" t="e">
        <f>-'Computations 1'!#REF!</f>
        <v>#REF!</v>
      </c>
      <c r="N43" s="155" t="e">
        <f>-'Computations 1'!#REF!</f>
        <v>#REF!</v>
      </c>
    </row>
    <row r="44" spans="1:36" x14ac:dyDescent="0.2">
      <c r="A44" s="245" t="s">
        <v>332</v>
      </c>
      <c r="B44" s="285">
        <f>-'Computations 1'!G34</f>
        <v>0</v>
      </c>
      <c r="C44" s="285">
        <f>-'Computations 1'!H34</f>
        <v>-8791.0837721460102</v>
      </c>
      <c r="D44" s="285">
        <f>-'Computations 1'!I34</f>
        <v>-45851.16221955089</v>
      </c>
      <c r="E44" s="285">
        <f>-'Computations 1'!J34</f>
        <v>-104713.89482962993</v>
      </c>
      <c r="F44" s="285">
        <f>-'Computations 1'!K34</f>
        <v>-158245.47341353499</v>
      </c>
      <c r="G44" s="285">
        <f>-'Computations 1'!L34</f>
        <v>-218302.72752210559</v>
      </c>
      <c r="H44" s="155">
        <f>-'Computations 1'!L34</f>
        <v>-218302.72752210559</v>
      </c>
      <c r="I44" s="155" t="e">
        <f>-'Computations 1'!#REF!</f>
        <v>#REF!</v>
      </c>
      <c r="J44" s="155" t="e">
        <f>-'Computations 1'!#REF!</f>
        <v>#REF!</v>
      </c>
      <c r="K44" s="155" t="e">
        <f>-'Computations 1'!#REF!</f>
        <v>#REF!</v>
      </c>
      <c r="L44" s="155" t="e">
        <f>-'Computations 1'!#REF!</f>
        <v>#REF!</v>
      </c>
      <c r="M44" s="155" t="e">
        <f>-'Computations 1'!#REF!</f>
        <v>#REF!</v>
      </c>
      <c r="N44" s="155" t="e">
        <f>-'Computations 1'!#REF!</f>
        <v>#REF!</v>
      </c>
    </row>
    <row r="45" spans="1:36" x14ac:dyDescent="0.2">
      <c r="A45" s="245" t="s">
        <v>333</v>
      </c>
      <c r="B45" s="285">
        <f>-'Computations 1'!G35</f>
        <v>0</v>
      </c>
      <c r="C45" s="285">
        <f>-'Computations 1'!H35</f>
        <v>0</v>
      </c>
      <c r="D45" s="285">
        <f>-'Computations 1'!I35</f>
        <v>-165.52766144242199</v>
      </c>
      <c r="E45" s="285">
        <f>-'Computations 1'!J35</f>
        <v>-378.02850118999982</v>
      </c>
      <c r="F45" s="285">
        <f>-'Computations 1'!K35</f>
        <v>-571.28329752178695</v>
      </c>
      <c r="G45" s="285">
        <f>-'Computations 1'!L35</f>
        <v>-788.09648924947874</v>
      </c>
      <c r="H45" s="155">
        <f>-'Computations 1'!L35</f>
        <v>-788.09648924947874</v>
      </c>
      <c r="I45" s="155" t="e">
        <f>-'Computations 1'!#REF!</f>
        <v>#REF!</v>
      </c>
      <c r="J45" s="155" t="e">
        <f>-'Computations 1'!#REF!</f>
        <v>#REF!</v>
      </c>
      <c r="K45" s="155" t="e">
        <f>-'Computations 1'!#REF!</f>
        <v>#REF!</v>
      </c>
      <c r="L45" s="155" t="e">
        <f>-'Computations 1'!#REF!</f>
        <v>#REF!</v>
      </c>
      <c r="M45" s="155" t="e">
        <f>-'Computations 1'!#REF!</f>
        <v>#REF!</v>
      </c>
      <c r="N45" s="155" t="e">
        <f>-'Computations 1'!#REF!</f>
        <v>#REF!</v>
      </c>
    </row>
    <row r="46" spans="1:36" x14ac:dyDescent="0.2">
      <c r="A46" s="245" t="s">
        <v>326</v>
      </c>
      <c r="B46" s="285">
        <f>-'Computations 1'!G36</f>
        <v>-3000</v>
      </c>
      <c r="C46" s="285">
        <f>-'Computations 1'!H36</f>
        <v>-317.36764520382707</v>
      </c>
      <c r="D46" s="285">
        <f>-'Computations 1'!I36</f>
        <v>-1655.2766144242198</v>
      </c>
      <c r="E46" s="285">
        <f>-'Computations 1'!J36</f>
        <v>-3780.2850118999982</v>
      </c>
      <c r="F46" s="285">
        <f>-'Computations 1'!K36</f>
        <v>-5712.8329752178697</v>
      </c>
      <c r="G46" s="285">
        <f>-'Computations 1'!L36</f>
        <v>-7880.9648924947869</v>
      </c>
      <c r="H46" s="155">
        <f>-'Computations 1'!L39</f>
        <v>-78809.648924947862</v>
      </c>
      <c r="I46" s="155" t="e">
        <f>-'Computations 1'!#REF!</f>
        <v>#REF!</v>
      </c>
      <c r="J46" s="155" t="e">
        <f>-'Computations 1'!#REF!</f>
        <v>#REF!</v>
      </c>
      <c r="K46" s="155" t="e">
        <f>-'Computations 1'!#REF!</f>
        <v>#REF!</v>
      </c>
      <c r="L46" s="155" t="e">
        <f>-'Computations 1'!#REF!</f>
        <v>#REF!</v>
      </c>
      <c r="M46" s="155" t="e">
        <f>-'Computations 1'!#REF!</f>
        <v>#REF!</v>
      </c>
      <c r="N46" s="155" t="e">
        <f>-'Computations 1'!#REF!</f>
        <v>#REF!</v>
      </c>
    </row>
    <row r="47" spans="1:36" x14ac:dyDescent="0.2">
      <c r="A47" s="245" t="s">
        <v>334</v>
      </c>
      <c r="B47" s="285">
        <f>-'Computations 1'!G38</f>
        <v>0</v>
      </c>
      <c r="C47" s="285">
        <f>-'Computations 1'!H38</f>
        <v>-1586.8382260191354</v>
      </c>
      <c r="D47" s="285">
        <f>-'Computations 1'!I38</f>
        <v>-8276.3830721210998</v>
      </c>
      <c r="E47" s="285">
        <f>-'Computations 1'!J38</f>
        <v>-18901.42505949999</v>
      </c>
      <c r="F47" s="285">
        <f>-'Computations 1'!K38</f>
        <v>-28564.164876089348</v>
      </c>
      <c r="G47" s="285">
        <f>-'Computations 1'!L38</f>
        <v>-39404.824462473931</v>
      </c>
      <c r="H47" s="155">
        <f>-'Computations 1'!L37</f>
        <v>-7880.9648924947869</v>
      </c>
      <c r="I47" s="155" t="e">
        <f>-'Computations 1'!#REF!</f>
        <v>#REF!</v>
      </c>
      <c r="J47" s="155" t="e">
        <f>-'Computations 1'!#REF!</f>
        <v>#REF!</v>
      </c>
      <c r="K47" s="155" t="e">
        <f>-'Computations 1'!#REF!</f>
        <v>#REF!</v>
      </c>
      <c r="L47" s="155" t="e">
        <f>-'Computations 1'!#REF!</f>
        <v>#REF!</v>
      </c>
      <c r="M47" s="155" t="e">
        <f>-'Computations 1'!#REF!</f>
        <v>#REF!</v>
      </c>
      <c r="N47" s="155" t="e">
        <f>-'Computations 1'!#REF!</f>
        <v>#REF!</v>
      </c>
    </row>
    <row r="48" spans="1:36" x14ac:dyDescent="0.2">
      <c r="A48" s="245" t="s">
        <v>328</v>
      </c>
      <c r="B48" s="285">
        <f>-'Computations 1'!G39</f>
        <v>-15000</v>
      </c>
      <c r="C48" s="285">
        <f>-'Computations 1'!H39</f>
        <v>-3173.6764520382708</v>
      </c>
      <c r="D48" s="285">
        <f>-'Computations 1'!I39</f>
        <v>-16552.7661442422</v>
      </c>
      <c r="E48" s="285">
        <f>-'Computations 1'!J39</f>
        <v>-37802.850118999981</v>
      </c>
      <c r="F48" s="285">
        <f>-'Computations 1'!K39</f>
        <v>-57128.329752178695</v>
      </c>
      <c r="G48" s="285">
        <f>-'Computations 1'!L39</f>
        <v>-78809.648924947862</v>
      </c>
      <c r="H48" s="155">
        <f>-'Computations 1'!L38</f>
        <v>-39404.824462473931</v>
      </c>
      <c r="I48" s="155" t="e">
        <f>-'Computations 1'!#REF!</f>
        <v>#REF!</v>
      </c>
      <c r="J48" s="155" t="e">
        <f>-'Computations 1'!#REF!</f>
        <v>#REF!</v>
      </c>
      <c r="K48" s="155" t="e">
        <f>-'Computations 1'!#REF!</f>
        <v>#REF!</v>
      </c>
      <c r="L48" s="155" t="e">
        <f>-'Computations 1'!#REF!</f>
        <v>#REF!</v>
      </c>
      <c r="M48" s="155" t="e">
        <f>-'Computations 1'!#REF!</f>
        <v>#REF!</v>
      </c>
      <c r="N48" s="155" t="e">
        <f>-'Computations 1'!#REF!</f>
        <v>#REF!</v>
      </c>
    </row>
    <row r="49" spans="1:36" x14ac:dyDescent="0.2">
      <c r="A49" s="245" t="s">
        <v>327</v>
      </c>
      <c r="B49" s="285">
        <f>-'Computations 1'!G40</f>
        <v>0</v>
      </c>
      <c r="C49" s="285">
        <f>-'Computations 1'!H40</f>
        <v>-7299.455839688022</v>
      </c>
      <c r="D49" s="285">
        <f>-'Computations 1'!I40</f>
        <v>-38071.362131757058</v>
      </c>
      <c r="E49" s="285">
        <f>-'Computations 1'!J40</f>
        <v>-86946.555273699953</v>
      </c>
      <c r="F49" s="285">
        <f>-'Computations 1'!K40</f>
        <v>-131395.15843001098</v>
      </c>
      <c r="G49" s="285">
        <f>-'Computations 1'!L40</f>
        <v>-181262.19252738007</v>
      </c>
      <c r="H49" s="155">
        <f>-'Computations 1'!L40</f>
        <v>-181262.19252738007</v>
      </c>
      <c r="I49" s="155" t="e">
        <f>-'Computations 1'!#REF!</f>
        <v>#REF!</v>
      </c>
      <c r="J49" s="155" t="e">
        <f>-'Computations 1'!#REF!</f>
        <v>#REF!</v>
      </c>
      <c r="K49" s="155" t="e">
        <f>-'Computations 1'!#REF!</f>
        <v>#REF!</v>
      </c>
      <c r="L49" s="155" t="e">
        <f>-'Computations 1'!#REF!</f>
        <v>#REF!</v>
      </c>
      <c r="M49" s="155" t="e">
        <f>-'Computations 1'!#REF!</f>
        <v>#REF!</v>
      </c>
      <c r="N49" s="155" t="e">
        <f>-'Computations 1'!#REF!</f>
        <v>#REF!</v>
      </c>
    </row>
    <row r="50" spans="1:36" x14ac:dyDescent="0.2">
      <c r="A50" s="245" t="s">
        <v>329</v>
      </c>
      <c r="B50" s="285">
        <f>-'Computations 1'!G41</f>
        <v>-5000</v>
      </c>
      <c r="C50" s="285">
        <f>-'Computations 1'!H41</f>
        <v>-6347.3529040765416</v>
      </c>
      <c r="D50" s="285">
        <f>-'Computations 1'!I41</f>
        <v>-33105.532288484399</v>
      </c>
      <c r="E50" s="285">
        <f>-'Computations 1'!J41</f>
        <v>-75605.700237999961</v>
      </c>
      <c r="F50" s="285">
        <f>-'Computations 1'!K41</f>
        <v>0</v>
      </c>
      <c r="G50" s="285">
        <f>-'Computations 1'!L41</f>
        <v>0</v>
      </c>
      <c r="H50" s="155">
        <f>-'Computations 1'!L41</f>
        <v>0</v>
      </c>
      <c r="I50" s="155" t="e">
        <f>-'Computations 1'!#REF!</f>
        <v>#REF!</v>
      </c>
      <c r="J50" s="155" t="e">
        <f>-'Computations 1'!#REF!</f>
        <v>#REF!</v>
      </c>
      <c r="K50" s="155" t="e">
        <f>-'Computations 1'!#REF!</f>
        <v>#REF!</v>
      </c>
      <c r="L50" s="155" t="e">
        <f>-'Computations 1'!#REF!</f>
        <v>#REF!</v>
      </c>
      <c r="M50" s="155" t="e">
        <f>-'Computations 1'!#REF!</f>
        <v>#REF!</v>
      </c>
      <c r="N50" s="155" t="e">
        <f>-'Computations 1'!#REF!</f>
        <v>#REF!</v>
      </c>
    </row>
    <row r="51" spans="1:36" ht="3" customHeight="1" x14ac:dyDescent="0.25">
      <c r="A51" s="280"/>
      <c r="B51" s="273"/>
      <c r="C51" s="273"/>
      <c r="D51" s="273"/>
      <c r="E51" s="273"/>
      <c r="F51" s="273"/>
      <c r="G51" s="273"/>
      <c r="H51" s="41"/>
      <c r="I51" s="41"/>
      <c r="J51" s="41"/>
      <c r="K51" s="41"/>
      <c r="L51" s="41"/>
      <c r="M51" s="41"/>
      <c r="N51" s="41"/>
      <c r="O51" s="5"/>
      <c r="P51" s="5"/>
      <c r="Q51" s="5"/>
      <c r="R51" s="5"/>
      <c r="S51" s="5"/>
      <c r="T51" s="5"/>
      <c r="U51" s="5"/>
      <c r="V51" s="5"/>
      <c r="W51" s="5"/>
      <c r="X51" s="5"/>
      <c r="Y51" s="5"/>
      <c r="Z51" s="5"/>
      <c r="AA51" s="5"/>
      <c r="AB51" s="5"/>
      <c r="AC51" s="5"/>
      <c r="AD51" s="5"/>
      <c r="AE51" s="5"/>
      <c r="AF51" s="5"/>
      <c r="AG51" s="5"/>
      <c r="AH51" s="5"/>
      <c r="AI51" s="5"/>
      <c r="AJ51" s="5"/>
    </row>
    <row r="52" spans="1:36" ht="3" customHeight="1" x14ac:dyDescent="0.25">
      <c r="A52" s="281"/>
      <c r="B52" s="274"/>
      <c r="C52" s="274"/>
      <c r="D52" s="274"/>
      <c r="E52" s="274"/>
      <c r="F52" s="274"/>
      <c r="G52" s="274"/>
      <c r="H52" s="40"/>
      <c r="I52" s="40"/>
      <c r="J52" s="40"/>
      <c r="K52" s="40"/>
      <c r="L52" s="40"/>
      <c r="M52" s="40"/>
      <c r="N52" s="40"/>
    </row>
    <row r="53" spans="1:36" s="19" customFormat="1" ht="12" x14ac:dyDescent="0.25">
      <c r="A53" s="243" t="s">
        <v>325</v>
      </c>
      <c r="B53" s="275">
        <f>-'Computations 1'!G37</f>
        <v>0</v>
      </c>
      <c r="C53" s="275">
        <f>-'Computations 1'!H37</f>
        <v>-317.36764520382707</v>
      </c>
      <c r="D53" s="275">
        <f>-'Computations 1'!I37</f>
        <v>-1655.2766144242198</v>
      </c>
      <c r="E53" s="275">
        <f>-'Computations 1'!J37</f>
        <v>-3780.2850118999982</v>
      </c>
      <c r="F53" s="275">
        <f>-'Computations 1'!K37</f>
        <v>-5712.8329752178697</v>
      </c>
      <c r="G53" s="275">
        <f>-'Computations 1'!L37</f>
        <v>-7880.9648924947869</v>
      </c>
      <c r="H53" s="46">
        <f>-'Computations 1'!M37</f>
        <v>0</v>
      </c>
      <c r="I53" s="46">
        <f>-'Computations 1'!N37</f>
        <v>0</v>
      </c>
      <c r="J53" s="46">
        <f>-'Computations 1'!O37</f>
        <v>0</v>
      </c>
      <c r="K53" s="46">
        <f>-'Computations 1'!P37</f>
        <v>0</v>
      </c>
      <c r="L53" s="46">
        <f>-'Computations 1'!Q37</f>
        <v>0</v>
      </c>
      <c r="M53" s="46">
        <f>-'Computations 1'!R37</f>
        <v>0</v>
      </c>
      <c r="N53" s="46">
        <f>-'Computations 1'!S37</f>
        <v>0</v>
      </c>
    </row>
    <row r="54" spans="1:36" ht="3" customHeight="1" x14ac:dyDescent="0.25">
      <c r="A54" s="280"/>
      <c r="B54" s="273"/>
      <c r="C54" s="273"/>
      <c r="D54" s="273"/>
      <c r="E54" s="273"/>
      <c r="F54" s="273"/>
      <c r="G54" s="273"/>
      <c r="H54" s="41"/>
      <c r="I54" s="41"/>
      <c r="J54" s="41"/>
      <c r="K54" s="41"/>
      <c r="L54" s="41"/>
      <c r="M54" s="41"/>
      <c r="N54" s="41"/>
      <c r="O54" s="5"/>
      <c r="P54" s="5"/>
      <c r="Q54" s="5"/>
      <c r="R54" s="5"/>
      <c r="S54" s="5"/>
      <c r="T54" s="5"/>
      <c r="U54" s="5"/>
      <c r="V54" s="5"/>
      <c r="W54" s="5"/>
      <c r="X54" s="5"/>
      <c r="Y54" s="5"/>
      <c r="Z54" s="5"/>
      <c r="AA54" s="5"/>
      <c r="AB54" s="5"/>
      <c r="AC54" s="5"/>
      <c r="AD54" s="5"/>
      <c r="AE54" s="5"/>
      <c r="AF54" s="5"/>
      <c r="AG54" s="5"/>
      <c r="AH54" s="5"/>
      <c r="AI54" s="5"/>
      <c r="AJ54" s="5"/>
    </row>
    <row r="55" spans="1:36" ht="3" customHeight="1" x14ac:dyDescent="0.25">
      <c r="A55" s="281"/>
      <c r="B55" s="274"/>
      <c r="C55" s="274"/>
      <c r="D55" s="274"/>
      <c r="E55" s="274"/>
      <c r="F55" s="274"/>
      <c r="G55" s="274"/>
      <c r="H55" s="40"/>
      <c r="I55" s="40"/>
      <c r="J55" s="40"/>
      <c r="K55" s="40"/>
      <c r="L55" s="40"/>
      <c r="M55" s="40"/>
      <c r="N55" s="40"/>
    </row>
    <row r="56" spans="1:36" ht="12" x14ac:dyDescent="0.25">
      <c r="A56" s="246" t="s">
        <v>17</v>
      </c>
      <c r="B56" s="275">
        <f t="shared" ref="B56:G56" ca="1" si="6">B15+B23+B31+B39+B53</f>
        <v>-1159134.8692590094</v>
      </c>
      <c r="C56" s="275">
        <f t="shared" ca="1" si="6"/>
        <v>-1348418.5500786621</v>
      </c>
      <c r="D56" s="275">
        <f t="shared" ca="1" si="6"/>
        <v>-304281.57803481334</v>
      </c>
      <c r="E56" s="275">
        <f t="shared" ca="1" si="6"/>
        <v>1078201.9090225147</v>
      </c>
      <c r="F56" s="275">
        <f t="shared" ca="1" si="6"/>
        <v>2214738.0996214342</v>
      </c>
      <c r="G56" s="275">
        <f t="shared" ca="1" si="6"/>
        <v>2457111.9143938022</v>
      </c>
      <c r="H56" s="43" t="e">
        <f>H15+#REF!+H23+H31+H39+#REF!+H53</f>
        <v>#REF!</v>
      </c>
      <c r="I56" s="43" t="e">
        <f>I15+#REF!+I23+I31+I39+#REF!+I53</f>
        <v>#REF!</v>
      </c>
      <c r="J56" s="43" t="e">
        <f>J15+#REF!+J23+J31+J39+#REF!+J53</f>
        <v>#REF!</v>
      </c>
      <c r="K56" s="43" t="e">
        <f>K15+#REF!+K23+K31+K39+#REF!+K53</f>
        <v>#REF!</v>
      </c>
      <c r="L56" s="43" t="e">
        <f>L15+#REF!+L23+L31+L39+#REF!+L53</f>
        <v>#REF!</v>
      </c>
      <c r="M56" s="43" t="e">
        <f>M15+#REF!+M23+M31+M39+#REF!+M53</f>
        <v>#REF!</v>
      </c>
      <c r="N56" s="43" t="e">
        <f>N15+#REF!+N23+N31+N39+#REF!+N53</f>
        <v>#REF!</v>
      </c>
    </row>
    <row r="57" spans="1:36" x14ac:dyDescent="0.2">
      <c r="A57" s="245" t="s">
        <v>335</v>
      </c>
      <c r="B57" s="286">
        <f t="shared" ref="B57:G57" ca="1" si="7">IFERROR( B56/B15,"n.s.")</f>
        <v>-93.730582419865968</v>
      </c>
      <c r="C57" s="286">
        <f t="shared" ca="1" si="7"/>
        <v>-4.2487587202301293</v>
      </c>
      <c r="D57" s="286">
        <f t="shared" ca="1" si="7"/>
        <v>-0.18382521409610819</v>
      </c>
      <c r="E57" s="286">
        <f t="shared" ca="1" si="7"/>
        <v>0.28521709490909591</v>
      </c>
      <c r="F57" s="286">
        <f t="shared" ca="1" si="7"/>
        <v>0.38767772648507565</v>
      </c>
      <c r="G57" s="286">
        <f t="shared" ca="1" si="7"/>
        <v>0.31177805610246573</v>
      </c>
      <c r="H57" s="152" t="e">
        <f t="shared" ref="H57:N57" si="8">+H56/H15</f>
        <v>#REF!</v>
      </c>
      <c r="I57" s="152" t="e">
        <f t="shared" si="8"/>
        <v>#REF!</v>
      </c>
      <c r="J57" s="152" t="e">
        <f t="shared" si="8"/>
        <v>#REF!</v>
      </c>
      <c r="K57" s="152" t="e">
        <f t="shared" si="8"/>
        <v>#REF!</v>
      </c>
      <c r="L57" s="152" t="e">
        <f t="shared" si="8"/>
        <v>#REF!</v>
      </c>
      <c r="M57" s="152" t="e">
        <f t="shared" si="8"/>
        <v>#REF!</v>
      </c>
      <c r="N57" s="152" t="e">
        <f t="shared" si="8"/>
        <v>#REF!</v>
      </c>
    </row>
    <row r="58" spans="1:36" ht="3" customHeight="1" x14ac:dyDescent="0.25">
      <c r="A58" s="280"/>
      <c r="B58" s="273"/>
      <c r="C58" s="273"/>
      <c r="D58" s="273"/>
      <c r="E58" s="273"/>
      <c r="F58" s="273"/>
      <c r="G58" s="273"/>
      <c r="H58" s="41"/>
      <c r="I58" s="41"/>
      <c r="J58" s="41"/>
      <c r="K58" s="41"/>
      <c r="L58" s="41"/>
      <c r="M58" s="41"/>
      <c r="N58" s="41"/>
      <c r="O58" s="5"/>
      <c r="P58" s="5"/>
      <c r="Q58" s="5"/>
      <c r="R58" s="5"/>
      <c r="S58" s="5"/>
      <c r="T58" s="5"/>
      <c r="U58" s="5"/>
      <c r="V58" s="5"/>
      <c r="W58" s="5"/>
      <c r="X58" s="5"/>
      <c r="Y58" s="5"/>
      <c r="Z58" s="5"/>
      <c r="AA58" s="5"/>
      <c r="AB58" s="5"/>
      <c r="AC58" s="5"/>
      <c r="AD58" s="5"/>
      <c r="AE58" s="5"/>
      <c r="AF58" s="5"/>
      <c r="AG58" s="5"/>
      <c r="AH58" s="5"/>
      <c r="AI58" s="5"/>
      <c r="AJ58" s="5"/>
    </row>
    <row r="59" spans="1:36" ht="3" customHeight="1" x14ac:dyDescent="0.25">
      <c r="A59" s="281"/>
      <c r="B59" s="274"/>
      <c r="C59" s="274"/>
      <c r="D59" s="274"/>
      <c r="E59" s="274"/>
      <c r="F59" s="274"/>
      <c r="G59" s="274"/>
      <c r="H59" s="40"/>
      <c r="I59" s="40"/>
      <c r="J59" s="40"/>
      <c r="K59" s="40"/>
      <c r="L59" s="40"/>
      <c r="M59" s="40"/>
      <c r="N59" s="40"/>
    </row>
    <row r="60" spans="1:36" x14ac:dyDescent="0.2">
      <c r="A60" s="245" t="s">
        <v>274</v>
      </c>
      <c r="B60" s="285">
        <f>'Computations 2'!F28</f>
        <v>-49049.466666666667</v>
      </c>
      <c r="C60" s="285">
        <f>'Computations 2'!G28</f>
        <v>-54854.739204556296</v>
      </c>
      <c r="D60" s="285">
        <f ca="1">'Computations 2'!H28</f>
        <v>-90374.725524787253</v>
      </c>
      <c r="E60" s="285">
        <f ca="1">'Computations 2'!I28</f>
        <v>-100902.59463220919</v>
      </c>
      <c r="F60" s="285">
        <f ca="1">'Computations 2'!J28</f>
        <v>-1289970.0133046943</v>
      </c>
      <c r="G60" s="285">
        <f ca="1">'Computations 2'!K28</f>
        <v>-1252911.3861358706</v>
      </c>
      <c r="H60" s="48">
        <f ca="1">'Computations 2'!K28</f>
        <v>-1252911.3861358706</v>
      </c>
      <c r="I60" s="48" t="e">
        <f>'Computations 2'!#REF!</f>
        <v>#REF!</v>
      </c>
      <c r="J60" s="48" t="e">
        <f>'Computations 2'!#REF!</f>
        <v>#REF!</v>
      </c>
      <c r="K60" s="48" t="e">
        <f>'Computations 2'!#REF!</f>
        <v>#REF!</v>
      </c>
      <c r="L60" s="48" t="e">
        <f>'Computations 2'!#REF!</f>
        <v>#REF!</v>
      </c>
      <c r="M60" s="48" t="e">
        <f>'Computations 2'!#REF!</f>
        <v>#REF!</v>
      </c>
      <c r="N60" s="96" t="e">
        <f>'Computations 2'!#REF!</f>
        <v>#REF!</v>
      </c>
    </row>
    <row r="61" spans="1:36" x14ac:dyDescent="0.2">
      <c r="A61" s="245" t="s">
        <v>340</v>
      </c>
      <c r="B61" s="285">
        <f>'Computations 2'!F82</f>
        <v>-138.47278538812802</v>
      </c>
      <c r="C61" s="285">
        <f>'Computations 2'!G82</f>
        <v>-3553.6481258850472</v>
      </c>
      <c r="D61" s="285">
        <f>'Computations 2'!H82</f>
        <v>-18534.563077128198</v>
      </c>
      <c r="E61" s="285">
        <f>'Computations 2'!I82</f>
        <v>-42328.835188041936</v>
      </c>
      <c r="F61" s="285">
        <f>'Computations 2'!J82</f>
        <v>-63968.077725247815</v>
      </c>
      <c r="G61" s="285">
        <f>'Computations 2'!K82</f>
        <v>-88245.215111304715</v>
      </c>
      <c r="H61" s="48">
        <f>'Computations 2'!K82</f>
        <v>-88245.215111304715</v>
      </c>
      <c r="I61" s="48" t="e">
        <f>'Computations 2'!#REF!</f>
        <v>#REF!</v>
      </c>
      <c r="J61" s="48" t="e">
        <f>'Computations 2'!#REF!</f>
        <v>#REF!</v>
      </c>
      <c r="K61" s="48" t="e">
        <f>'Computations 2'!#REF!</f>
        <v>#REF!</v>
      </c>
      <c r="L61" s="48" t="e">
        <f>'Computations 2'!#REF!</f>
        <v>#REF!</v>
      </c>
      <c r="M61" s="48" t="e">
        <f>'Computations 2'!#REF!</f>
        <v>#REF!</v>
      </c>
      <c r="N61" s="48" t="e">
        <f>'Computations 2'!#REF!</f>
        <v>#REF!</v>
      </c>
      <c r="O61" s="153"/>
    </row>
    <row r="62" spans="1:36" x14ac:dyDescent="0.2">
      <c r="A62" s="245" t="s">
        <v>341</v>
      </c>
      <c r="B62" s="285">
        <f>-'Computations 1'!G25</f>
        <v>-1498.4640743238181</v>
      </c>
      <c r="C62" s="285">
        <f>-'Computations 1'!H25</f>
        <v>-25473.889263504905</v>
      </c>
      <c r="D62" s="285">
        <f>-'Computations 1'!I25</f>
        <v>-32538.251462447504</v>
      </c>
      <c r="E62" s="285">
        <f>-'Computations 1'!J25</f>
        <v>-55266.068314561249</v>
      </c>
      <c r="F62" s="285">
        <f>-'Computations 1'!K25</f>
        <v>-95980.983336348581</v>
      </c>
      <c r="G62" s="285">
        <f>-'Computations 1'!L25</f>
        <v>-179996.67721333829</v>
      </c>
      <c r="H62" s="215"/>
      <c r="I62" s="215"/>
      <c r="J62" s="215"/>
      <c r="K62" s="215"/>
      <c r="L62" s="215"/>
      <c r="M62" s="215"/>
      <c r="N62" s="215"/>
      <c r="O62" s="153"/>
    </row>
    <row r="63" spans="1:36" ht="3" customHeight="1" x14ac:dyDescent="0.25">
      <c r="A63" s="280"/>
      <c r="B63" s="273"/>
      <c r="C63" s="273"/>
      <c r="D63" s="273"/>
      <c r="E63" s="273"/>
      <c r="F63" s="273"/>
      <c r="G63" s="273"/>
      <c r="H63" s="41"/>
      <c r="I63" s="41"/>
      <c r="J63" s="41"/>
      <c r="K63" s="41"/>
      <c r="L63" s="41"/>
      <c r="M63" s="41"/>
      <c r="N63" s="41"/>
      <c r="O63" s="5"/>
      <c r="P63" s="5"/>
      <c r="Q63" s="5"/>
      <c r="R63" s="5"/>
      <c r="S63" s="5"/>
      <c r="T63" s="5"/>
      <c r="U63" s="5"/>
      <c r="V63" s="5"/>
      <c r="W63" s="5"/>
      <c r="X63" s="5"/>
      <c r="Y63" s="5"/>
      <c r="Z63" s="5"/>
      <c r="AA63" s="5"/>
      <c r="AB63" s="5"/>
      <c r="AC63" s="5"/>
      <c r="AD63" s="5"/>
      <c r="AE63" s="5"/>
      <c r="AF63" s="5"/>
      <c r="AG63" s="5"/>
      <c r="AH63" s="5"/>
      <c r="AI63" s="5"/>
      <c r="AJ63" s="5"/>
    </row>
    <row r="64" spans="1:36" ht="3" customHeight="1" x14ac:dyDescent="0.25">
      <c r="A64" s="281"/>
      <c r="B64" s="274"/>
      <c r="C64" s="274"/>
      <c r="D64" s="274"/>
      <c r="E64" s="274"/>
      <c r="F64" s="274"/>
      <c r="G64" s="274"/>
      <c r="H64" s="40"/>
      <c r="I64" s="40"/>
      <c r="J64" s="40"/>
      <c r="K64" s="40"/>
      <c r="L64" s="40"/>
      <c r="M64" s="40"/>
      <c r="N64" s="40"/>
    </row>
    <row r="65" spans="1:36" ht="12" x14ac:dyDescent="0.25">
      <c r="A65" s="246" t="s">
        <v>20</v>
      </c>
      <c r="B65" s="275">
        <f t="shared" ref="B65:G65" ca="1" si="9">+B56+B60+B61+B62</f>
        <v>-1209821.2727853879</v>
      </c>
      <c r="C65" s="275">
        <f t="shared" ca="1" si="9"/>
        <v>-1432300.8266726083</v>
      </c>
      <c r="D65" s="275">
        <f t="shared" ca="1" si="9"/>
        <v>-445729.11809917632</v>
      </c>
      <c r="E65" s="275">
        <f t="shared" ca="1" si="9"/>
        <v>879704.41088770237</v>
      </c>
      <c r="F65" s="275">
        <f t="shared" ca="1" si="9"/>
        <v>764819.02525514353</v>
      </c>
      <c r="G65" s="275">
        <f t="shared" ca="1" si="9"/>
        <v>935958.63593328849</v>
      </c>
      <c r="H65" s="43" t="e">
        <f t="shared" ref="H65:N65" ca="1" si="10">+H56+H60+H61</f>
        <v>#REF!</v>
      </c>
      <c r="I65" s="43" t="e">
        <f t="shared" si="10"/>
        <v>#REF!</v>
      </c>
      <c r="J65" s="43" t="e">
        <f t="shared" si="10"/>
        <v>#REF!</v>
      </c>
      <c r="K65" s="43" t="e">
        <f t="shared" si="10"/>
        <v>#REF!</v>
      </c>
      <c r="L65" s="43" t="e">
        <f t="shared" si="10"/>
        <v>#REF!</v>
      </c>
      <c r="M65" s="43" t="e">
        <f t="shared" si="10"/>
        <v>#REF!</v>
      </c>
      <c r="N65" s="43" t="e">
        <f t="shared" si="10"/>
        <v>#REF!</v>
      </c>
    </row>
    <row r="66" spans="1:36" x14ac:dyDescent="0.2">
      <c r="A66" s="245" t="s">
        <v>336</v>
      </c>
      <c r="B66" s="286">
        <f t="shared" ref="B66:N66" ca="1" si="11">IFERROR( B65/B15,"n.s.")</f>
        <v>-97.829213432780676</v>
      </c>
      <c r="C66" s="286">
        <f t="shared" ca="1" si="11"/>
        <v>-4.5130650471717857</v>
      </c>
      <c r="D66" s="286">
        <f t="shared" ca="1" si="11"/>
        <v>-0.2692777232609071</v>
      </c>
      <c r="E66" s="286">
        <f t="shared" ca="1" si="11"/>
        <v>0.23270848841250638</v>
      </c>
      <c r="F66" s="286">
        <f t="shared" ca="1" si="11"/>
        <v>0.13387736497336958</v>
      </c>
      <c r="G66" s="286">
        <f t="shared" ca="1" si="11"/>
        <v>0.11876193444594864</v>
      </c>
      <c r="H66" s="159" t="str">
        <f t="shared" ca="1" si="11"/>
        <v>n.s.</v>
      </c>
      <c r="I66" s="159" t="str">
        <f t="shared" si="11"/>
        <v>n.s.</v>
      </c>
      <c r="J66" s="159" t="str">
        <f t="shared" si="11"/>
        <v>n.s.</v>
      </c>
      <c r="K66" s="159" t="str">
        <f t="shared" si="11"/>
        <v>n.s.</v>
      </c>
      <c r="L66" s="159" t="str">
        <f t="shared" si="11"/>
        <v>n.s.</v>
      </c>
      <c r="M66" s="159" t="str">
        <f t="shared" si="11"/>
        <v>n.s.</v>
      </c>
      <c r="N66" s="159" t="str">
        <f t="shared" si="11"/>
        <v>n.s.</v>
      </c>
    </row>
    <row r="67" spans="1:36" ht="3" customHeight="1" x14ac:dyDescent="0.25">
      <c r="A67" s="280"/>
      <c r="B67" s="273"/>
      <c r="C67" s="273"/>
      <c r="D67" s="273"/>
      <c r="E67" s="273"/>
      <c r="F67" s="273"/>
      <c r="G67" s="273"/>
      <c r="H67" s="41"/>
      <c r="I67" s="41"/>
      <c r="J67" s="41"/>
      <c r="K67" s="41"/>
      <c r="L67" s="41"/>
      <c r="M67" s="41"/>
      <c r="N67" s="41"/>
      <c r="O67" s="5"/>
      <c r="P67" s="5"/>
      <c r="Q67" s="5"/>
      <c r="R67" s="5"/>
      <c r="S67" s="5"/>
      <c r="T67" s="5"/>
      <c r="U67" s="5"/>
      <c r="V67" s="5"/>
      <c r="W67" s="5"/>
      <c r="X67" s="5"/>
      <c r="Y67" s="5"/>
      <c r="Z67" s="5"/>
      <c r="AA67" s="5"/>
      <c r="AB67" s="5"/>
      <c r="AC67" s="5"/>
      <c r="AD67" s="5"/>
      <c r="AE67" s="5"/>
      <c r="AF67" s="5"/>
      <c r="AG67" s="5"/>
      <c r="AH67" s="5"/>
      <c r="AI67" s="5"/>
      <c r="AJ67" s="5"/>
    </row>
    <row r="68" spans="1:36" ht="3" customHeight="1" x14ac:dyDescent="0.25">
      <c r="A68" s="281"/>
      <c r="B68" s="274"/>
      <c r="C68" s="274"/>
      <c r="D68" s="274"/>
      <c r="E68" s="274"/>
      <c r="F68" s="274"/>
      <c r="G68" s="274"/>
      <c r="H68" s="40"/>
      <c r="I68" s="40"/>
      <c r="J68" s="40"/>
      <c r="K68" s="40"/>
      <c r="L68" s="40"/>
      <c r="M68" s="40"/>
      <c r="N68" s="40"/>
    </row>
    <row r="69" spans="1:36" x14ac:dyDescent="0.2">
      <c r="A69" s="245" t="s">
        <v>287</v>
      </c>
      <c r="B69" s="285">
        <f ca="1">'Computations 2'!F30</f>
        <v>-100148.21984760655</v>
      </c>
      <c r="C69" s="285">
        <f ca="1">'Computations 2'!G30</f>
        <v>0</v>
      </c>
      <c r="D69" s="285">
        <f ca="1">'Computations 2'!H30</f>
        <v>0</v>
      </c>
      <c r="E69" s="285">
        <f ca="1">'Computations 2'!I30</f>
        <v>0</v>
      </c>
      <c r="F69" s="285">
        <f ca="1">'Computations 2'!J30</f>
        <v>0</v>
      </c>
      <c r="G69" s="285">
        <f ca="1">'Computations 2'!K30</f>
        <v>0</v>
      </c>
      <c r="H69" s="47" t="e">
        <f>'Computations 2'!#REF!</f>
        <v>#REF!</v>
      </c>
      <c r="I69" s="47" t="e">
        <f>'Computations 2'!#REF!</f>
        <v>#REF!</v>
      </c>
      <c r="J69" s="47" t="e">
        <f>'Computations 2'!#REF!</f>
        <v>#REF!</v>
      </c>
      <c r="K69" s="47" t="e">
        <f>'Computations 2'!#REF!</f>
        <v>#REF!</v>
      </c>
      <c r="L69" s="47" t="e">
        <f>'Computations 2'!#REF!</f>
        <v>#REF!</v>
      </c>
      <c r="M69" s="47" t="e">
        <f>'Computations 2'!#REF!</f>
        <v>#REF!</v>
      </c>
      <c r="N69" s="47" t="e">
        <f>'Computations 2'!#REF!</f>
        <v>#REF!</v>
      </c>
    </row>
    <row r="70" spans="1:36" x14ac:dyDescent="0.2">
      <c r="A70" s="245" t="s">
        <v>337</v>
      </c>
      <c r="B70" s="285">
        <f>'Computations 2'!F32</f>
        <v>0</v>
      </c>
      <c r="C70" s="285">
        <f>'Computations 2'!G32</f>
        <v>0</v>
      </c>
      <c r="D70" s="285">
        <f>'Computations 2'!H32</f>
        <v>0</v>
      </c>
      <c r="E70" s="285">
        <f>'Computations 2'!I32</f>
        <v>0</v>
      </c>
      <c r="F70" s="285">
        <f>'Computations 2'!J32</f>
        <v>0</v>
      </c>
      <c r="G70" s="285">
        <f>'Computations 2'!K32</f>
        <v>0</v>
      </c>
      <c r="H70" s="47">
        <f>-'Computations 2'!K32</f>
        <v>0</v>
      </c>
      <c r="I70" s="47" t="e">
        <f>-'Computations 2'!#REF!</f>
        <v>#REF!</v>
      </c>
      <c r="J70" s="47" t="e">
        <f>-'Computations 2'!#REF!</f>
        <v>#REF!</v>
      </c>
      <c r="K70" s="47" t="e">
        <f>-'Computations 2'!#REF!</f>
        <v>#REF!</v>
      </c>
      <c r="L70" s="47" t="e">
        <f>-'Computations 2'!#REF!</f>
        <v>#REF!</v>
      </c>
      <c r="M70" s="47" t="e">
        <f>-'Computations 2'!#REF!</f>
        <v>#REF!</v>
      </c>
      <c r="N70" s="47" t="e">
        <f>-'Computations 2'!#REF!</f>
        <v>#REF!</v>
      </c>
    </row>
    <row r="71" spans="1:36" ht="3" customHeight="1" x14ac:dyDescent="0.25">
      <c r="A71" s="280"/>
      <c r="B71" s="273"/>
      <c r="C71" s="273"/>
      <c r="D71" s="273"/>
      <c r="E71" s="273"/>
      <c r="F71" s="273"/>
      <c r="G71" s="273"/>
      <c r="H71" s="41"/>
      <c r="I71" s="41"/>
      <c r="J71" s="41"/>
      <c r="K71" s="41"/>
      <c r="L71" s="41"/>
      <c r="M71" s="41"/>
      <c r="N71" s="41"/>
      <c r="O71" s="5"/>
      <c r="P71" s="5"/>
      <c r="Q71" s="5"/>
      <c r="R71" s="5"/>
      <c r="S71" s="5"/>
      <c r="T71" s="5"/>
      <c r="U71" s="5"/>
      <c r="V71" s="5"/>
      <c r="W71" s="5"/>
      <c r="X71" s="5"/>
      <c r="Y71" s="5"/>
      <c r="Z71" s="5"/>
      <c r="AA71" s="5"/>
      <c r="AB71" s="5"/>
      <c r="AC71" s="5"/>
      <c r="AD71" s="5"/>
      <c r="AE71" s="5"/>
      <c r="AF71" s="5"/>
      <c r="AG71" s="5"/>
      <c r="AH71" s="5"/>
      <c r="AI71" s="5"/>
      <c r="AJ71" s="5"/>
    </row>
    <row r="72" spans="1:36" ht="3" customHeight="1" x14ac:dyDescent="0.25">
      <c r="A72" s="281"/>
      <c r="B72" s="274"/>
      <c r="C72" s="274"/>
      <c r="D72" s="274"/>
      <c r="E72" s="274"/>
      <c r="F72" s="274"/>
      <c r="G72" s="274"/>
      <c r="H72" s="40"/>
      <c r="I72" s="40"/>
      <c r="J72" s="40"/>
      <c r="K72" s="40"/>
      <c r="L72" s="40"/>
      <c r="M72" s="40"/>
      <c r="N72" s="40"/>
    </row>
    <row r="73" spans="1:36" ht="12" x14ac:dyDescent="0.25">
      <c r="A73" s="246" t="s">
        <v>146</v>
      </c>
      <c r="B73" s="275">
        <f t="shared" ref="B73:N73" ca="1" si="12">+B65+B69+B70</f>
        <v>-1309969.4926329944</v>
      </c>
      <c r="C73" s="275">
        <f t="shared" ca="1" si="12"/>
        <v>-1432300.8266726083</v>
      </c>
      <c r="D73" s="275">
        <f t="shared" ca="1" si="12"/>
        <v>-445729.11809917632</v>
      </c>
      <c r="E73" s="275">
        <f t="shared" ca="1" si="12"/>
        <v>879704.41088770237</v>
      </c>
      <c r="F73" s="275">
        <f t="shared" ca="1" si="12"/>
        <v>764819.02525514353</v>
      </c>
      <c r="G73" s="275">
        <f t="shared" ca="1" si="12"/>
        <v>935958.63593328849</v>
      </c>
      <c r="H73" s="43" t="e">
        <f t="shared" ca="1" si="12"/>
        <v>#REF!</v>
      </c>
      <c r="I73" s="43" t="e">
        <f t="shared" si="12"/>
        <v>#REF!</v>
      </c>
      <c r="J73" s="43" t="e">
        <f t="shared" si="12"/>
        <v>#REF!</v>
      </c>
      <c r="K73" s="43" t="e">
        <f t="shared" si="12"/>
        <v>#REF!</v>
      </c>
      <c r="L73" s="43" t="e">
        <f t="shared" si="12"/>
        <v>#REF!</v>
      </c>
      <c r="M73" s="43" t="e">
        <f t="shared" si="12"/>
        <v>#REF!</v>
      </c>
      <c r="N73" s="43" t="e">
        <f t="shared" si="12"/>
        <v>#REF!</v>
      </c>
    </row>
    <row r="74" spans="1:36" ht="3" customHeight="1" x14ac:dyDescent="0.25">
      <c r="A74" s="280"/>
      <c r="B74" s="273"/>
      <c r="C74" s="273"/>
      <c r="D74" s="273"/>
      <c r="E74" s="273"/>
      <c r="F74" s="273"/>
      <c r="G74" s="273"/>
      <c r="H74" s="41"/>
      <c r="I74" s="41"/>
      <c r="J74" s="41"/>
      <c r="K74" s="41"/>
      <c r="L74" s="41"/>
      <c r="M74" s="41"/>
      <c r="N74" s="41"/>
      <c r="O74" s="5"/>
      <c r="P74" s="5"/>
      <c r="Q74" s="5"/>
      <c r="R74" s="5"/>
      <c r="S74" s="5"/>
      <c r="T74" s="5"/>
      <c r="U74" s="5"/>
      <c r="V74" s="5"/>
      <c r="W74" s="5"/>
      <c r="X74" s="5"/>
      <c r="Y74" s="5"/>
      <c r="Z74" s="5"/>
      <c r="AA74" s="5"/>
      <c r="AB74" s="5"/>
      <c r="AC74" s="5"/>
      <c r="AD74" s="5"/>
      <c r="AE74" s="5"/>
      <c r="AF74" s="5"/>
      <c r="AG74" s="5"/>
      <c r="AH74" s="5"/>
      <c r="AI74" s="5"/>
      <c r="AJ74" s="5"/>
    </row>
    <row r="75" spans="1:36" ht="3" customHeight="1" x14ac:dyDescent="0.25">
      <c r="A75" s="281"/>
      <c r="B75" s="274"/>
      <c r="C75" s="274"/>
      <c r="D75" s="274"/>
      <c r="E75" s="274"/>
      <c r="F75" s="274"/>
      <c r="G75" s="274"/>
      <c r="H75" s="40"/>
      <c r="I75" s="40"/>
      <c r="J75" s="40"/>
      <c r="K75" s="40"/>
      <c r="L75" s="40"/>
      <c r="M75" s="40"/>
      <c r="N75" s="40"/>
    </row>
    <row r="76" spans="1:36" x14ac:dyDescent="0.2">
      <c r="A76" s="245" t="s">
        <v>275</v>
      </c>
      <c r="B76" s="285">
        <f>-'Computations 2'!E56</f>
        <v>0</v>
      </c>
      <c r="C76" s="285">
        <f ca="1">-'Computations 2'!F56</f>
        <v>363945.17168890499</v>
      </c>
      <c r="D76" s="285">
        <f ca="1">-'Computations 2'!G56</f>
        <v>382488.83312167553</v>
      </c>
      <c r="E76" s="285">
        <f ca="1">-'Computations 2'!H56</f>
        <v>98335.464641507802</v>
      </c>
      <c r="F76" s="285">
        <f ca="1">-'Computations 2'!I56</f>
        <v>-91803.052669731449</v>
      </c>
      <c r="G76" s="285">
        <f ca="1">-'Computations 2'!J56</f>
        <v>-296385.63075032621</v>
      </c>
      <c r="H76" s="44">
        <f ca="1">-'Computations 2'!K56</f>
        <v>-415292.52133140469</v>
      </c>
      <c r="I76" s="44" t="e">
        <f>-'Computations 2'!#REF!</f>
        <v>#REF!</v>
      </c>
      <c r="J76" s="44" t="e">
        <f>-'Computations 2'!#REF!</f>
        <v>#REF!</v>
      </c>
      <c r="K76" s="44" t="e">
        <f>-'Computations 2'!#REF!</f>
        <v>#REF!</v>
      </c>
      <c r="L76" s="44" t="e">
        <f>-'Computations 2'!#REF!</f>
        <v>#REF!</v>
      </c>
      <c r="M76" s="44" t="e">
        <f>-'Computations 2'!#REF!</f>
        <v>#REF!</v>
      </c>
      <c r="N76" s="44" t="e">
        <f>-'Computations 2'!#REF!</f>
        <v>#REF!</v>
      </c>
      <c r="O76" s="180"/>
    </row>
    <row r="77" spans="1:36" ht="3" customHeight="1" x14ac:dyDescent="0.25">
      <c r="A77" s="280"/>
      <c r="B77" s="273"/>
      <c r="C77" s="273"/>
      <c r="D77" s="273"/>
      <c r="E77" s="273"/>
      <c r="F77" s="273"/>
      <c r="G77" s="273"/>
      <c r="H77" s="41" t="e">
        <f t="shared" ref="H77:M77" ca="1" si="13">+H76/H73</f>
        <v>#REF!</v>
      </c>
      <c r="I77" s="41" t="e">
        <f t="shared" si="13"/>
        <v>#REF!</v>
      </c>
      <c r="J77" s="41" t="e">
        <f t="shared" si="13"/>
        <v>#REF!</v>
      </c>
      <c r="K77" s="41" t="e">
        <f t="shared" si="13"/>
        <v>#REF!</v>
      </c>
      <c r="L77" s="41" t="e">
        <f t="shared" si="13"/>
        <v>#REF!</v>
      </c>
      <c r="M77" s="41" t="e">
        <f t="shared" si="13"/>
        <v>#REF!</v>
      </c>
      <c r="N77" s="41" t="e">
        <f>+N76/N73</f>
        <v>#REF!</v>
      </c>
      <c r="O77" s="5"/>
      <c r="P77" s="5"/>
      <c r="Q77" s="5"/>
      <c r="R77" s="5"/>
      <c r="S77" s="5"/>
      <c r="T77" s="5"/>
      <c r="U77" s="5"/>
      <c r="V77" s="5"/>
      <c r="W77" s="5"/>
      <c r="X77" s="5"/>
      <c r="Y77" s="5"/>
      <c r="Z77" s="5"/>
      <c r="AA77" s="5"/>
      <c r="AB77" s="5"/>
      <c r="AC77" s="5"/>
      <c r="AD77" s="5"/>
      <c r="AE77" s="5"/>
      <c r="AF77" s="5"/>
      <c r="AG77" s="5"/>
      <c r="AH77" s="5"/>
      <c r="AI77" s="5"/>
      <c r="AJ77" s="5"/>
    </row>
    <row r="78" spans="1:36" ht="3" customHeight="1" x14ac:dyDescent="0.25">
      <c r="A78" s="281"/>
      <c r="B78" s="274"/>
      <c r="C78" s="274"/>
      <c r="D78" s="274"/>
      <c r="E78" s="274"/>
      <c r="F78" s="274"/>
      <c r="G78" s="274"/>
      <c r="H78" s="40"/>
      <c r="I78" s="40"/>
      <c r="J78" s="40"/>
      <c r="K78" s="40"/>
      <c r="L78" s="40"/>
      <c r="M78" s="40"/>
      <c r="N78" s="40"/>
    </row>
    <row r="79" spans="1:36" ht="12" x14ac:dyDescent="0.25">
      <c r="A79" s="246" t="s">
        <v>338</v>
      </c>
      <c r="B79" s="275">
        <f t="shared" ref="B79:G79" ca="1" si="14">+B73+B76</f>
        <v>-1309969.4926329944</v>
      </c>
      <c r="C79" s="275">
        <f t="shared" ca="1" si="14"/>
        <v>-1068355.6549837033</v>
      </c>
      <c r="D79" s="275">
        <f ca="1">+D73+D76</f>
        <v>-63240.284977500793</v>
      </c>
      <c r="E79" s="275">
        <f t="shared" ca="1" si="14"/>
        <v>978039.8755292102</v>
      </c>
      <c r="F79" s="275">
        <f t="shared" ca="1" si="14"/>
        <v>673015.97258541209</v>
      </c>
      <c r="G79" s="275">
        <f t="shared" ca="1" si="14"/>
        <v>639573.00518296228</v>
      </c>
      <c r="H79" s="43" t="e">
        <f t="shared" ref="H79:N79" ca="1" si="15">+H73+H76</f>
        <v>#REF!</v>
      </c>
      <c r="I79" s="43" t="e">
        <f t="shared" si="15"/>
        <v>#REF!</v>
      </c>
      <c r="J79" s="43" t="e">
        <f t="shared" si="15"/>
        <v>#REF!</v>
      </c>
      <c r="K79" s="43" t="e">
        <f t="shared" si="15"/>
        <v>#REF!</v>
      </c>
      <c r="L79" s="43" t="e">
        <f t="shared" si="15"/>
        <v>#REF!</v>
      </c>
      <c r="M79" s="43" t="e">
        <f t="shared" si="15"/>
        <v>#REF!</v>
      </c>
      <c r="N79" s="43" t="e">
        <f t="shared" si="15"/>
        <v>#REF!</v>
      </c>
    </row>
    <row r="80" spans="1:36" x14ac:dyDescent="0.2">
      <c r="A80" s="245" t="s">
        <v>339</v>
      </c>
      <c r="B80" s="286">
        <f t="shared" ref="B80:G80" ca="1" si="16">IFERROR( B79/B15,"n.s.")</f>
        <v>-105.92745223447392</v>
      </c>
      <c r="C80" s="286">
        <f t="shared" ca="1" si="16"/>
        <v>-3.3663029963169673</v>
      </c>
      <c r="D80" s="286">
        <f t="shared" ca="1" si="16"/>
        <v>-3.8205266978594166E-2</v>
      </c>
      <c r="E80" s="286">
        <f t="shared" ca="1" si="16"/>
        <v>0.25872120024030681</v>
      </c>
      <c r="F80" s="286">
        <f t="shared" ca="1" si="16"/>
        <v>0.11780774538743545</v>
      </c>
      <c r="G80" s="286">
        <f t="shared" ca="1" si="16"/>
        <v>8.1154149765600592E-2</v>
      </c>
      <c r="H80" s="154" t="e">
        <f t="shared" ref="H80:N80" ca="1" si="17">+H79/H15</f>
        <v>#REF!</v>
      </c>
      <c r="I80" s="154" t="e">
        <f t="shared" si="17"/>
        <v>#REF!</v>
      </c>
      <c r="J80" s="154" t="e">
        <f t="shared" si="17"/>
        <v>#REF!</v>
      </c>
      <c r="K80" s="154" t="e">
        <f t="shared" si="17"/>
        <v>#REF!</v>
      </c>
      <c r="L80" s="154" t="e">
        <f t="shared" si="17"/>
        <v>#REF!</v>
      </c>
      <c r="M80" s="154" t="e">
        <f t="shared" si="17"/>
        <v>#REF!</v>
      </c>
      <c r="N80" s="154" t="e">
        <f t="shared" si="17"/>
        <v>#REF!</v>
      </c>
    </row>
    <row r="82" spans="1:14" x14ac:dyDescent="0.2">
      <c r="C82" s="181"/>
      <c r="D82" s="21"/>
    </row>
    <row r="83" spans="1:14" ht="12" x14ac:dyDescent="0.25">
      <c r="A83" s="81" t="s">
        <v>206</v>
      </c>
      <c r="B83" s="227" t="str">
        <f ca="1">IF(B79/('4.Personnel'!C6+'4.Personnel'!C16+'4.Personnel'!C36+'4.Personnel'!C46+'4.Personnel'!C56+'4.Personnel'!C66)&lt;0,"n.a",B79/('4.Personnel'!C6+'4.Personnel'!C16+'4.Personnel'!C36+'4.Personnel'!C46+'4.Personnel'!C56+'4.Personnel'!C66))</f>
        <v>n.a</v>
      </c>
      <c r="C83" s="227" t="str">
        <f ca="1">IF(C79/('4.Personnel'!D6+'4.Personnel'!D16+'4.Personnel'!D36+'4.Personnel'!D46+'4.Personnel'!D56+'4.Personnel'!D66)&lt;0,"n.a",C79/('4.Personnel'!D6+'4.Personnel'!D16+'4.Personnel'!D36+'4.Personnel'!D46+'4.Personnel'!D56+'4.Personnel'!D66))</f>
        <v>n.a</v>
      </c>
      <c r="D83" s="227" t="str">
        <f ca="1">IF(D79/('4.Personnel'!E6+'4.Personnel'!E16+'4.Personnel'!E36+'4.Personnel'!E46+'4.Personnel'!E56+'4.Personnel'!E66)&lt;0,"n.a",D79/('4.Personnel'!E6+'4.Personnel'!E16+'4.Personnel'!E36+'4.Personnel'!E46+'4.Personnel'!E56+'4.Personnel'!E66))</f>
        <v>n.a</v>
      </c>
      <c r="E83" s="227">
        <f ca="1">IF(E79/('4.Personnel'!F6+'4.Personnel'!F16+'4.Personnel'!F36+'4.Personnel'!F46+'4.Personnel'!F56+'4.Personnel'!F66)&lt;0,"n.a",E79/('4.Personnel'!F6+'4.Personnel'!F16+'4.Personnel'!F36+'4.Personnel'!F46+'4.Personnel'!F56+'4.Personnel'!F66))</f>
        <v>108671.09728102335</v>
      </c>
      <c r="F83" s="226">
        <f ca="1">IF(F79/('4.Personnel'!G6+'4.Personnel'!G16+'4.Personnel'!G36+'4.Personnel'!G46+'4.Personnel'!G56+'4.Personnel'!G66)&lt;0,"n.a",F79/('4.Personnel'!G6+'4.Personnel'!G16+'4.Personnel'!G36+'4.Personnel'!G46+'4.Personnel'!G56+'4.Personnel'!G66))</f>
        <v>74779.552509490226</v>
      </c>
      <c r="G83" s="226">
        <f ca="1">IF(G79/('4.Personnel'!H6+'4.Personnel'!H16+'4.Personnel'!H36+'4.Personnel'!H46+'4.Personnel'!H56+'4.Personnel'!H66)&lt;0,"n.a",G79/('4.Personnel'!H6+'4.Personnel'!H16+'4.Personnel'!H36+'4.Personnel'!H46+'4.Personnel'!H56+'4.Personnel'!H66))</f>
        <v>71063.667242551368</v>
      </c>
      <c r="H83" s="226" t="e">
        <f ca="1">IF(H79/('4.Personnel'!I6+'4.Personnel'!I16+'4.Personnel'!I36+'4.Personnel'!I46+'4.Personnel'!I56+'4.Personnel'!I66)&lt;0,"n.a",H79/('4.Personnel'!I6+'4.Personnel'!I16+'4.Personnel'!I36+'4.Personnel'!I46+'4.Personnel'!I56+'4.Personnel'!I66))</f>
        <v>#REF!</v>
      </c>
      <c r="I83" s="226" t="e">
        <f>IF(I79/('4.Personnel'!J6+'4.Personnel'!J16+'4.Personnel'!J36+'4.Personnel'!J46+'4.Personnel'!J56+'4.Personnel'!J66)&lt;0,"n.a",I79/('4.Personnel'!J6+'4.Personnel'!J16+'4.Personnel'!J36+'4.Personnel'!J46+'4.Personnel'!J56+'4.Personnel'!J66))</f>
        <v>#REF!</v>
      </c>
      <c r="J83" s="226" t="e">
        <f>IF(J79/('4.Personnel'!K6+'4.Personnel'!K16+'4.Personnel'!K36+'4.Personnel'!K46+'4.Personnel'!K56+'4.Personnel'!K66)&lt;0,"n.a",J79/('4.Personnel'!K6+'4.Personnel'!K16+'4.Personnel'!K36+'4.Personnel'!K46+'4.Personnel'!K56+'4.Personnel'!K66))</f>
        <v>#REF!</v>
      </c>
      <c r="K83" s="226" t="e">
        <f>IF(K79/('4.Personnel'!L6+'4.Personnel'!L16+'4.Personnel'!L36+'4.Personnel'!L46+'4.Personnel'!L56+'4.Personnel'!L66)&lt;0,"n.a",K79/('4.Personnel'!L6+'4.Personnel'!L16+'4.Personnel'!L36+'4.Personnel'!L46+'4.Personnel'!L56+'4.Personnel'!L66))</f>
        <v>#REF!</v>
      </c>
      <c r="L83" s="226" t="e">
        <f>IF(L79/('4.Personnel'!M6+'4.Personnel'!M16+'4.Personnel'!M36+'4.Personnel'!M46+'4.Personnel'!M56+'4.Personnel'!M66)&lt;0,"n.a",L79/('4.Personnel'!M6+'4.Personnel'!M16+'4.Personnel'!M36+'4.Personnel'!M46+'4.Personnel'!M56+'4.Personnel'!M66))</f>
        <v>#REF!</v>
      </c>
      <c r="M83" s="226" t="e">
        <f>IF(M79/('4.Personnel'!N6+'4.Personnel'!N16+'4.Personnel'!N36+'4.Personnel'!N46+'4.Personnel'!N56+'4.Personnel'!N66)&lt;0,"n.a",M79/('4.Personnel'!N6+'4.Personnel'!N16+'4.Personnel'!N36+'4.Personnel'!N46+'4.Personnel'!N56+'4.Personnel'!N66))</f>
        <v>#REF!</v>
      </c>
      <c r="N83" s="226" t="e">
        <f>IF(N79/('4.Personnel'!O6+'4.Personnel'!O16+'4.Personnel'!O36+'4.Personnel'!O46+'4.Personnel'!O56+'4.Personnel'!O66)&lt;0,"n.a",N79/('4.Personnel'!O6+'4.Personnel'!O16+'4.Personnel'!O36+'4.Personnel'!O46+'4.Personnel'!O56+'4.Personnel'!O66))</f>
        <v>#REF!</v>
      </c>
    </row>
    <row r="84" spans="1:14" x14ac:dyDescent="0.2">
      <c r="D84" s="153"/>
    </row>
  </sheetData>
  <pageMargins left="0.74803149606299213" right="0.74803149606299213" top="0.98425196850393704" bottom="0.98425196850393704" header="0.51181102362204722" footer="0.51181102362204722"/>
  <pageSetup paperSize="9" scale="65"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pageSetUpPr fitToPage="1"/>
  </sheetPr>
  <dimension ref="A1:AF126"/>
  <sheetViews>
    <sheetView showGridLines="0" zoomScaleNormal="100" workbookViewId="0">
      <pane xSplit="1" ySplit="6" topLeftCell="B87" activePane="bottomRight" state="frozen"/>
      <selection pane="topRight" activeCell="C1" sqref="C1"/>
      <selection pane="bottomLeft" activeCell="A7" sqref="A7"/>
      <selection pane="bottomRight" activeCell="G110" sqref="G110"/>
    </sheetView>
  </sheetViews>
  <sheetFormatPr defaultRowHeight="11.4" x14ac:dyDescent="0.2"/>
  <cols>
    <col min="1" max="1" width="44.875" customWidth="1"/>
    <col min="2" max="2" width="9" customWidth="1"/>
    <col min="3" max="3" width="13" customWidth="1"/>
    <col min="4" max="4" width="11" customWidth="1"/>
    <col min="5" max="5" width="10.625" customWidth="1"/>
    <col min="6" max="6" width="12" bestFit="1" customWidth="1"/>
    <col min="7" max="7" width="15.125" bestFit="1" customWidth="1"/>
    <col min="8" max="8" width="13.875" bestFit="1" customWidth="1"/>
    <col min="9" max="9" width="15.125" customWidth="1"/>
    <col min="10" max="10" width="17" customWidth="1"/>
    <col min="11" max="11" width="15.875" customWidth="1"/>
  </cols>
  <sheetData>
    <row r="1" spans="1:32" ht="15" x14ac:dyDescent="0.25">
      <c r="A1" s="27"/>
      <c r="B1" s="16"/>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t="15.6" x14ac:dyDescent="0.3">
      <c r="A2" s="28" t="s">
        <v>170</v>
      </c>
      <c r="B2" s="15"/>
      <c r="C2" s="14"/>
      <c r="D2" s="14"/>
      <c r="E2" s="13"/>
      <c r="F2" s="12">
        <v>2021</v>
      </c>
      <c r="G2" s="12">
        <f>+F2+1</f>
        <v>2022</v>
      </c>
      <c r="H2" s="12">
        <f>+G2+1</f>
        <v>2023</v>
      </c>
      <c r="I2" s="12">
        <f>+H2+1</f>
        <v>2024</v>
      </c>
      <c r="J2" s="12">
        <f>+I2+1</f>
        <v>2025</v>
      </c>
      <c r="K2" s="12">
        <f>+J2+1</f>
        <v>2026</v>
      </c>
      <c r="L2" s="11"/>
      <c r="M2" s="11"/>
      <c r="N2" s="11"/>
      <c r="O2" s="11"/>
      <c r="P2" s="11"/>
      <c r="Q2" s="11"/>
      <c r="R2" s="9"/>
      <c r="S2" s="9"/>
      <c r="T2" s="9"/>
      <c r="U2" s="9"/>
      <c r="V2" s="9"/>
      <c r="W2" s="9"/>
      <c r="X2" s="9"/>
      <c r="Y2" s="9"/>
      <c r="Z2" s="9"/>
      <c r="AA2" s="9"/>
      <c r="AB2" s="9"/>
      <c r="AC2" s="9"/>
      <c r="AD2" s="9"/>
      <c r="AE2" s="9"/>
      <c r="AF2" s="9"/>
    </row>
    <row r="3" spans="1:32" x14ac:dyDescent="0.2">
      <c r="A3" s="29" t="str">
        <f>+A2</f>
        <v>Computations 2</v>
      </c>
      <c r="E3" s="8"/>
      <c r="F3" s="7"/>
      <c r="G3" s="7"/>
      <c r="H3" s="7"/>
      <c r="I3" s="7"/>
      <c r="J3" s="7"/>
      <c r="K3" s="7"/>
      <c r="L3" s="7"/>
      <c r="M3" s="7"/>
      <c r="N3" s="7"/>
      <c r="O3" s="7"/>
      <c r="P3" s="7"/>
      <c r="Q3" s="7"/>
      <c r="R3" s="9"/>
      <c r="S3" s="9"/>
      <c r="T3" s="9"/>
      <c r="U3" s="9"/>
      <c r="V3" s="9"/>
      <c r="W3" s="9"/>
      <c r="X3" s="9"/>
      <c r="Y3" s="9"/>
      <c r="Z3" s="9"/>
      <c r="AA3" s="9"/>
      <c r="AB3" s="9"/>
      <c r="AC3" s="9"/>
      <c r="AD3" s="9"/>
      <c r="AE3" s="9"/>
      <c r="AF3" s="9"/>
    </row>
    <row r="4" spans="1:32" x14ac:dyDescent="0.2">
      <c r="A4" s="30"/>
      <c r="E4" s="8"/>
      <c r="F4" s="7"/>
      <c r="G4" s="7"/>
      <c r="H4" s="7"/>
      <c r="I4" s="7"/>
      <c r="J4" s="7"/>
      <c r="K4" s="7"/>
      <c r="L4" s="7"/>
      <c r="M4" s="7"/>
      <c r="N4" s="7"/>
      <c r="O4" s="7"/>
      <c r="P4" s="7"/>
      <c r="Q4" s="7"/>
    </row>
    <row r="5" spans="1:32" x14ac:dyDescent="0.2">
      <c r="A5" s="31"/>
      <c r="E5" s="8"/>
      <c r="F5" s="10"/>
      <c r="G5" s="10"/>
      <c r="H5" s="10"/>
      <c r="I5" s="10"/>
      <c r="J5" s="10"/>
      <c r="K5" s="10"/>
      <c r="L5" s="10"/>
      <c r="M5" s="10"/>
      <c r="N5" s="10"/>
      <c r="O5" s="10"/>
      <c r="P5" s="10"/>
      <c r="Q5" s="10"/>
    </row>
    <row r="6" spans="1:32" x14ac:dyDescent="0.2">
      <c r="A6" s="32" t="s">
        <v>351</v>
      </c>
      <c r="E6" s="8"/>
      <c r="F6" s="10"/>
      <c r="G6" s="10"/>
      <c r="H6" s="10"/>
      <c r="I6" s="10"/>
      <c r="J6" s="10"/>
      <c r="K6" s="10"/>
      <c r="L6" s="10"/>
      <c r="M6" s="10"/>
      <c r="N6" s="10"/>
      <c r="O6" s="10"/>
      <c r="P6" s="10"/>
      <c r="Q6" s="10"/>
      <c r="R6" s="9"/>
      <c r="S6" s="9"/>
      <c r="T6" s="9"/>
      <c r="U6" s="9"/>
      <c r="V6" s="9"/>
      <c r="W6" s="9"/>
      <c r="X6" s="9"/>
      <c r="Y6" s="9"/>
      <c r="Z6" s="9"/>
      <c r="AA6" s="9"/>
      <c r="AB6" s="9"/>
      <c r="AC6" s="9"/>
      <c r="AD6" s="9"/>
      <c r="AE6" s="9"/>
      <c r="AF6" s="9"/>
    </row>
    <row r="7" spans="1:32" x14ac:dyDescent="0.2">
      <c r="A7" s="32" t="s">
        <v>350</v>
      </c>
      <c r="E7" s="8"/>
      <c r="F7" s="7"/>
      <c r="G7" s="7"/>
      <c r="H7" s="7"/>
      <c r="I7" s="7"/>
      <c r="J7" s="7"/>
      <c r="K7" s="7"/>
      <c r="L7" s="7"/>
      <c r="M7" s="7"/>
      <c r="N7" s="7"/>
      <c r="O7" s="7"/>
      <c r="P7" s="7"/>
      <c r="Q7" s="7"/>
      <c r="R7" s="9"/>
      <c r="S7" s="9"/>
      <c r="T7" s="9"/>
      <c r="U7" s="9"/>
      <c r="V7" s="9"/>
      <c r="W7" s="9"/>
      <c r="X7" s="9"/>
      <c r="Y7" s="9"/>
      <c r="Z7" s="9"/>
      <c r="AA7" s="9"/>
      <c r="AB7" s="9"/>
      <c r="AC7" s="9"/>
      <c r="AD7" s="9"/>
      <c r="AE7" s="9"/>
      <c r="AF7" s="9"/>
    </row>
    <row r="8" spans="1:32" x14ac:dyDescent="0.2">
      <c r="E8" s="8"/>
      <c r="F8" s="7"/>
      <c r="G8" s="7"/>
      <c r="H8" s="7"/>
      <c r="I8" s="7"/>
      <c r="J8" s="7"/>
      <c r="K8" s="7"/>
      <c r="L8" s="7"/>
      <c r="M8" s="7"/>
      <c r="N8" s="7"/>
      <c r="O8" s="7"/>
      <c r="P8" s="7"/>
      <c r="Q8" s="7"/>
      <c r="R8" s="9"/>
      <c r="S8" s="9"/>
      <c r="T8" s="9"/>
      <c r="U8" s="9"/>
      <c r="V8" s="9"/>
      <c r="W8" s="9"/>
      <c r="X8" s="9"/>
      <c r="Y8" s="9"/>
      <c r="Z8" s="9"/>
      <c r="AA8" s="9"/>
      <c r="AB8" s="9"/>
      <c r="AC8" s="9"/>
      <c r="AD8" s="9"/>
      <c r="AE8" s="9"/>
      <c r="AF8" s="9"/>
    </row>
    <row r="9" spans="1:32" x14ac:dyDescent="0.2">
      <c r="E9" s="8"/>
      <c r="F9" s="7"/>
      <c r="G9" s="7"/>
      <c r="H9" s="7"/>
      <c r="I9" s="7"/>
      <c r="J9" s="7"/>
      <c r="K9" s="7"/>
      <c r="L9" s="7"/>
      <c r="M9" s="7"/>
      <c r="N9" s="7"/>
      <c r="O9" s="7"/>
      <c r="P9" s="7"/>
      <c r="Q9" s="7"/>
    </row>
    <row r="11" spans="1:32" x14ac:dyDescent="0.2">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row>
    <row r="12" spans="1:32" ht="15" x14ac:dyDescent="0.2">
      <c r="A12" s="26" t="s">
        <v>106</v>
      </c>
      <c r="B12" s="33"/>
      <c r="C12" s="33"/>
      <c r="D12" s="33"/>
      <c r="E12" s="33"/>
      <c r="F12" s="33"/>
      <c r="G12" s="33"/>
      <c r="H12" s="33"/>
      <c r="I12" s="33"/>
      <c r="J12" s="33"/>
      <c r="K12" s="33"/>
    </row>
    <row r="13" spans="1:32" x14ac:dyDescent="0.2">
      <c r="E13" s="6"/>
      <c r="F13" s="6"/>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2">
      <c r="A14" s="4"/>
      <c r="E14" s="2"/>
      <c r="F14" s="2"/>
    </row>
    <row r="15" spans="1:32" ht="12" x14ac:dyDescent="0.25">
      <c r="A15" s="20" t="s">
        <v>187</v>
      </c>
      <c r="F15" s="22">
        <f>+'Computations 1'!G13</f>
        <v>12366.66666666667</v>
      </c>
      <c r="G15" s="22">
        <f>+'Computations 1'!H13</f>
        <v>317367.64520382707</v>
      </c>
      <c r="H15" s="22">
        <f>+'Computations 1'!I13</f>
        <v>1655276.6144242198</v>
      </c>
      <c r="I15" s="22">
        <f>+'Computations 1'!J13</f>
        <v>3780285.0118999979</v>
      </c>
      <c r="J15" s="22">
        <f>+'Computations 1'!K13</f>
        <v>5712832.9752178695</v>
      </c>
      <c r="K15" s="22">
        <f>+'Computations 1'!L13</f>
        <v>7880964.8924947865</v>
      </c>
    </row>
    <row r="17" spans="1:11" ht="15" x14ac:dyDescent="0.2">
      <c r="A17" s="26" t="s">
        <v>172</v>
      </c>
      <c r="B17" s="33"/>
      <c r="C17" s="33"/>
      <c r="D17" s="33"/>
      <c r="E17" s="33"/>
      <c r="F17" s="33"/>
      <c r="G17" s="33"/>
      <c r="H17" s="33"/>
      <c r="I17" s="33"/>
      <c r="J17" s="33"/>
      <c r="K17" s="33"/>
    </row>
    <row r="19" spans="1:11" ht="12" x14ac:dyDescent="0.25">
      <c r="A19" s="19" t="s">
        <v>142</v>
      </c>
      <c r="F19" s="66">
        <f>-'Computations 1'!G18</f>
        <v>-1120000</v>
      </c>
      <c r="G19" s="66">
        <f>-'Computations 1'!H18</f>
        <v>-2266426.9420616184</v>
      </c>
      <c r="H19" s="66">
        <f>-'Computations 1'!I18</f>
        <v>-2341592.5081712799</v>
      </c>
      <c r="I19" s="66">
        <f>-'Computations 1'!J18</f>
        <v>-2427515.7316196617</v>
      </c>
      <c r="J19" s="66">
        <f>-'Computations 1'!K18</f>
        <v>-2487169.0434359885</v>
      </c>
      <c r="K19" s="66">
        <f>-'Computations 1'!L18</f>
        <v>-2521939.8939734786</v>
      </c>
    </row>
    <row r="20" spans="1:11" x14ac:dyDescent="0.2">
      <c r="E20" s="2"/>
      <c r="F20" s="66"/>
      <c r="G20" s="66"/>
      <c r="H20" s="66"/>
      <c r="I20" s="66"/>
      <c r="J20" s="66"/>
      <c r="K20" s="66"/>
    </row>
    <row r="21" spans="1:11" ht="12" x14ac:dyDescent="0.25">
      <c r="A21" s="19"/>
      <c r="F21" s="97"/>
    </row>
    <row r="22" spans="1:11" ht="12" x14ac:dyDescent="0.25">
      <c r="A22" s="19" t="s">
        <v>143</v>
      </c>
      <c r="F22" s="66">
        <f>-'Computations 1'!G23</f>
        <v>-30000</v>
      </c>
      <c r="G22" s="66">
        <f>-'Computations 1'!H23</f>
        <v>-510000</v>
      </c>
      <c r="H22" s="66">
        <f>-'Computations 1'!I23</f>
        <v>-651432.06340393028</v>
      </c>
      <c r="I22" s="66">
        <f>-'Computations 1'!J23</f>
        <v>-1106454.3206916738</v>
      </c>
      <c r="J22" s="66">
        <f>-'Computations 1'!K23</f>
        <v>-1921587.2768853665</v>
      </c>
      <c r="K22" s="66">
        <f>-'Computations 1'!L23</f>
        <v>-3603623.4761496386</v>
      </c>
    </row>
    <row r="23" spans="1:11" ht="12" x14ac:dyDescent="0.25">
      <c r="A23" s="19" t="s">
        <v>205</v>
      </c>
      <c r="F23" s="66">
        <f ca="1">' Cash Flow Statement'!B51*'Computations 2'!F116</f>
        <v>0</v>
      </c>
      <c r="G23" s="66">
        <f ca="1">' Cash Flow Statement'!C51*'Computations 2'!G116</f>
        <v>0</v>
      </c>
      <c r="H23" s="66">
        <f ca="1">' Cash Flow Statement'!D51*'Computations 2'!H116</f>
        <v>0</v>
      </c>
      <c r="I23" s="66">
        <f ca="1">' Cash Flow Statement'!E51*'Computations 2'!I116</f>
        <v>-86257.632444050396</v>
      </c>
      <c r="J23" s="66">
        <f ca="1">' Cash Flow Statement'!F51*'Computations 2'!J116</f>
        <v>-29768.345102437481</v>
      </c>
      <c r="K23" s="66">
        <f ca="1">' Cash Flow Statement'!G51*'Computations 2'!K116</f>
        <v>-197987.64691572575</v>
      </c>
    </row>
    <row r="24" spans="1:11" x14ac:dyDescent="0.2">
      <c r="F24" s="97"/>
    </row>
    <row r="25" spans="1:11" ht="12" x14ac:dyDescent="0.25">
      <c r="A25" s="19" t="s">
        <v>144</v>
      </c>
      <c r="F25" s="66">
        <f>-'Computations 1'!G30</f>
        <v>-23000</v>
      </c>
      <c r="G25" s="66">
        <f>-'Computations 1'!H30</f>
        <v>-34515.774839171805</v>
      </c>
      <c r="H25" s="66">
        <f>-'Computations 1'!I30</f>
        <v>-143843.5377934647</v>
      </c>
      <c r="I25" s="66">
        <f>-'Computations 1'!J30</f>
        <v>-328506.76753410976</v>
      </c>
      <c r="J25" s="66">
        <f>-'Computations 1'!K30</f>
        <v>-382188.52604207542</v>
      </c>
      <c r="K25" s="66">
        <f>-'Computations 1'!L30</f>
        <v>-527236.55130790116</v>
      </c>
    </row>
    <row r="26" spans="1:11" ht="12" x14ac:dyDescent="0.25">
      <c r="A26" s="19" t="s">
        <v>66</v>
      </c>
      <c r="E26" s="21"/>
      <c r="F26" s="126">
        <f>-'Computations 1'!G37</f>
        <v>0</v>
      </c>
      <c r="G26" s="66">
        <f>-'Computations 1'!H37</f>
        <v>-317.36764520382707</v>
      </c>
      <c r="H26" s="66">
        <f>-'Computations 1'!I37</f>
        <v>-1655.2766144242198</v>
      </c>
      <c r="I26" s="66">
        <f>-'Computations 1'!J37</f>
        <v>-3780.2850118999982</v>
      </c>
      <c r="J26" s="66">
        <f>-'Computations 1'!K37</f>
        <v>-5712.8329752178697</v>
      </c>
      <c r="K26" s="66">
        <f>-'Computations 1'!L37</f>
        <v>-7880.9648924947869</v>
      </c>
    </row>
    <row r="27" spans="1:11" x14ac:dyDescent="0.2">
      <c r="F27" s="97"/>
    </row>
    <row r="28" spans="1:11" x14ac:dyDescent="0.2">
      <c r="A28" s="5" t="s">
        <v>114</v>
      </c>
      <c r="F28" s="66">
        <f t="shared" ref="F28:K28" si="0">F71+F75</f>
        <v>-49049.466666666667</v>
      </c>
      <c r="G28" s="66">
        <f t="shared" si="0"/>
        <v>-54854.739204556296</v>
      </c>
      <c r="H28" s="66">
        <f t="shared" ca="1" si="0"/>
        <v>-90374.725524787253</v>
      </c>
      <c r="I28" s="66">
        <f t="shared" ca="1" si="0"/>
        <v>-100902.59463220919</v>
      </c>
      <c r="J28" s="66">
        <f t="shared" ca="1" si="0"/>
        <v>-1289970.0133046943</v>
      </c>
      <c r="K28" s="66">
        <f t="shared" ca="1" si="0"/>
        <v>-1252911.3861358706</v>
      </c>
    </row>
    <row r="30" spans="1:11" ht="12" x14ac:dyDescent="0.25">
      <c r="A30" s="5" t="s">
        <v>162</v>
      </c>
      <c r="D30" s="95">
        <v>0.05</v>
      </c>
      <c r="F30">
        <f ca="1">IF(' Cash Flow Statement'!B51&gt;0,-' Cash Flow Statement'!B51*'Computations 2'!$D$30,0)</f>
        <v>-100148.21984760655</v>
      </c>
      <c r="G30">
        <f ca="1">IF(' Cash Flow Statement'!C51&gt;0,-' Cash Flow Statement'!C51*'Computations 2'!$D$30,0)</f>
        <v>0</v>
      </c>
      <c r="H30">
        <f ca="1">IF(' Cash Flow Statement'!D51&gt;0,-' Cash Flow Statement'!D51*'Computations 2'!$D$30,0)</f>
        <v>0</v>
      </c>
      <c r="I30">
        <f ca="1">IF(' Cash Flow Statement'!E51&gt;0,-' Cash Flow Statement'!E51*'Computations 2'!$D$30,0)</f>
        <v>0</v>
      </c>
      <c r="J30">
        <f ca="1">IF(' Cash Flow Statement'!F51&gt;0,-' Cash Flow Statement'!F51*'Computations 2'!$D$30,0)</f>
        <v>0</v>
      </c>
      <c r="K30">
        <f ca="1">IF(' Cash Flow Statement'!G51&gt;0,-' Cash Flow Statement'!G51*'Computations 2'!$D$30,0)</f>
        <v>0</v>
      </c>
    </row>
    <row r="32" spans="1:11" ht="12" x14ac:dyDescent="0.25">
      <c r="A32" s="19" t="s">
        <v>145</v>
      </c>
      <c r="F32" s="97">
        <f>-('Computations 1'!G42)</f>
        <v>0</v>
      </c>
      <c r="G32" s="97">
        <f>-('Computations 1'!H42)</f>
        <v>0</v>
      </c>
      <c r="H32" s="97">
        <f>-('Computations 1'!I42)</f>
        <v>0</v>
      </c>
      <c r="I32" s="97">
        <f>-('Computations 1'!J42)</f>
        <v>0</v>
      </c>
      <c r="J32" s="97">
        <f>-('Computations 1'!K42)</f>
        <v>0</v>
      </c>
      <c r="K32" s="97">
        <f>-('Computations 1'!L42)</f>
        <v>0</v>
      </c>
    </row>
    <row r="35" spans="1:11" ht="12" x14ac:dyDescent="0.25">
      <c r="A35" s="19" t="s">
        <v>112</v>
      </c>
    </row>
    <row r="37" spans="1:11" ht="12" x14ac:dyDescent="0.25">
      <c r="A37" s="214" t="s">
        <v>18</v>
      </c>
    </row>
    <row r="38" spans="1:11" x14ac:dyDescent="0.2">
      <c r="A38" s="213" t="s">
        <v>147</v>
      </c>
      <c r="G38" s="83"/>
    </row>
    <row r="39" spans="1:11" s="19" customFormat="1" ht="12" x14ac:dyDescent="0.25">
      <c r="A39" s="214" t="s">
        <v>148</v>
      </c>
      <c r="F39" s="85">
        <f ca="1">'Profit &amp; Loss Account'!B73</f>
        <v>-1309969.4926329944</v>
      </c>
      <c r="G39" s="85">
        <f ca="1">'Profit &amp; Loss Account'!C73</f>
        <v>-1432300.8266726083</v>
      </c>
      <c r="H39" s="85">
        <f ca="1">'Profit &amp; Loss Account'!D73</f>
        <v>-445729.11810096767</v>
      </c>
      <c r="I39" s="85">
        <f ca="1">'Profit &amp; Loss Account'!E73</f>
        <v>879704.41088408045</v>
      </c>
      <c r="J39" s="85">
        <f ca="1">'Profit &amp; Loss Account'!F73</f>
        <v>764819.02525227226</v>
      </c>
      <c r="K39" s="85">
        <f ca="1">'Profit &amp; Loss Account'!G73</f>
        <v>935958.63593304914</v>
      </c>
    </row>
    <row r="40" spans="1:11" s="19" customFormat="1" ht="12" x14ac:dyDescent="0.25">
      <c r="A40" s="213" t="s">
        <v>149</v>
      </c>
      <c r="F40" s="85">
        <f t="shared" ref="F40:K40" si="1">E40+E41-E42</f>
        <v>0</v>
      </c>
      <c r="G40" s="85">
        <f t="shared" ca="1" si="1"/>
        <v>0</v>
      </c>
      <c r="H40" s="85">
        <f t="shared" ca="1" si="1"/>
        <v>-363945.17168890499</v>
      </c>
      <c r="I40" s="85">
        <f t="shared" ca="1" si="1"/>
        <v>-746434.00481058052</v>
      </c>
      <c r="J40" s="85">
        <f t="shared" ca="1" si="1"/>
        <v>0</v>
      </c>
      <c r="K40" s="85">
        <f t="shared" ca="1" si="1"/>
        <v>0</v>
      </c>
    </row>
    <row r="41" spans="1:11" s="19" customFormat="1" ht="12" x14ac:dyDescent="0.25">
      <c r="A41" s="213" t="s">
        <v>165</v>
      </c>
      <c r="F41" s="85">
        <f t="shared" ref="F41:K41" si="2">+IF(-E61&lt;0,-E61,0)</f>
        <v>0</v>
      </c>
      <c r="G41" s="85">
        <f t="shared" ca="1" si="2"/>
        <v>-363945.17168890499</v>
      </c>
      <c r="H41" s="85">
        <f t="shared" ca="1" si="2"/>
        <v>-382488.83312167553</v>
      </c>
      <c r="I41" s="85">
        <f t="shared" ca="1" si="2"/>
        <v>-98335.464642042469</v>
      </c>
      <c r="J41" s="85">
        <f t="shared" ca="1" si="2"/>
        <v>0</v>
      </c>
      <c r="K41" s="85">
        <f t="shared" ca="1" si="2"/>
        <v>0</v>
      </c>
    </row>
    <row r="42" spans="1:11" s="19" customFormat="1" ht="12" x14ac:dyDescent="0.25">
      <c r="A42" s="213" t="s">
        <v>150</v>
      </c>
      <c r="F42" s="85">
        <f t="shared" ref="F42:K42" ca="1" si="3">IF(F1&lt;=3,IF(F39&lt;=0,0,IF(F39&lt;=-(F40+F41),-F39,F40+F41)),(IF(F39&lt;=0,0,IF(F39&lt;=-(F40+F41),-F39,F40+F41)))*80%)</f>
        <v>0</v>
      </c>
      <c r="G42" s="85">
        <f t="shared" ca="1" si="3"/>
        <v>0</v>
      </c>
      <c r="H42" s="85">
        <f t="shared" ca="1" si="3"/>
        <v>0</v>
      </c>
      <c r="I42" s="85">
        <f t="shared" ca="1" si="3"/>
        <v>-844769.46945262305</v>
      </c>
      <c r="J42" s="85">
        <f t="shared" ca="1" si="3"/>
        <v>0</v>
      </c>
      <c r="K42" s="85">
        <f t="shared" ca="1" si="3"/>
        <v>0</v>
      </c>
    </row>
    <row r="43" spans="1:11" s="19" customFormat="1" ht="12" x14ac:dyDescent="0.25">
      <c r="A43" s="214" t="s">
        <v>151</v>
      </c>
      <c r="F43" s="67">
        <f t="shared" ref="F43:K43" ca="1" si="4">IF(F39&lt;=0,F39,+F39+F42)</f>
        <v>-1309969.4926329944</v>
      </c>
      <c r="G43" s="67">
        <f t="shared" ca="1" si="4"/>
        <v>-1432300.8266726083</v>
      </c>
      <c r="H43" s="67">
        <f t="shared" ca="1" si="4"/>
        <v>-445729.11810096767</v>
      </c>
      <c r="I43" s="67">
        <f t="shared" ca="1" si="4"/>
        <v>34934.94143145741</v>
      </c>
      <c r="J43" s="67">
        <f t="shared" ca="1" si="4"/>
        <v>764819.02525227226</v>
      </c>
      <c r="K43" s="67">
        <f t="shared" ca="1" si="4"/>
        <v>935958.63593304914</v>
      </c>
    </row>
    <row r="44" spans="1:11" s="19" customFormat="1" ht="12" x14ac:dyDescent="0.25">
      <c r="A44" s="214"/>
      <c r="F44" s="67"/>
      <c r="G44" s="67"/>
      <c r="H44" s="67"/>
      <c r="I44" s="67"/>
      <c r="J44" s="67"/>
      <c r="K44" s="67"/>
    </row>
    <row r="45" spans="1:11" x14ac:dyDescent="0.2">
      <c r="A45" s="212" t="s">
        <v>152</v>
      </c>
      <c r="F45" s="77">
        <v>0.24</v>
      </c>
      <c r="G45" s="216">
        <f>F45</f>
        <v>0.24</v>
      </c>
      <c r="H45" s="216">
        <f>G45</f>
        <v>0.24</v>
      </c>
      <c r="I45" s="216">
        <f>H45</f>
        <v>0.24</v>
      </c>
      <c r="J45" s="216">
        <f>I45</f>
        <v>0.24</v>
      </c>
      <c r="K45" s="216">
        <f>J45</f>
        <v>0.24</v>
      </c>
    </row>
    <row r="46" spans="1:11" s="19" customFormat="1" ht="12" x14ac:dyDescent="0.25">
      <c r="A46" s="214" t="s">
        <v>163</v>
      </c>
      <c r="F46" s="67">
        <f t="shared" ref="F46:K46" ca="1" si="5">F45*F43</f>
        <v>-314392.67823191866</v>
      </c>
      <c r="G46" s="67">
        <f ca="1">G45*G43</f>
        <v>-343752.19840142597</v>
      </c>
      <c r="H46" s="67">
        <f t="shared" ca="1" si="5"/>
        <v>-106974.98834423223</v>
      </c>
      <c r="I46" s="67">
        <f t="shared" ca="1" si="5"/>
        <v>8384.3859435497779</v>
      </c>
      <c r="J46" s="67">
        <f t="shared" ca="1" si="5"/>
        <v>183556.56606054533</v>
      </c>
      <c r="K46" s="67">
        <f t="shared" ca="1" si="5"/>
        <v>224630.07262393177</v>
      </c>
    </row>
    <row r="48" spans="1:11" ht="12" x14ac:dyDescent="0.25">
      <c r="A48" s="214" t="s">
        <v>19</v>
      </c>
    </row>
    <row r="49" spans="1:11" x14ac:dyDescent="0.2">
      <c r="A49" s="213" t="s">
        <v>147</v>
      </c>
      <c r="F49" s="66">
        <f ca="1">'Profit &amp; Loss Account'!B73</f>
        <v>-1309969.4926329944</v>
      </c>
      <c r="G49" s="66">
        <f ca="1">'Profit &amp; Loss Account'!C73</f>
        <v>-1432300.8266726083</v>
      </c>
      <c r="H49" s="66">
        <f ca="1">'Profit &amp; Loss Account'!D73</f>
        <v>-445729.11810096767</v>
      </c>
      <c r="I49" s="66">
        <f ca="1">'Profit &amp; Loss Account'!E73</f>
        <v>879704.41088408045</v>
      </c>
      <c r="J49" s="66">
        <f ca="1">'Profit &amp; Loss Account'!F73</f>
        <v>764819.02525227226</v>
      </c>
      <c r="K49" s="66">
        <f ca="1">'Profit &amp; Loss Account'!G73</f>
        <v>935958.63593304914</v>
      </c>
    </row>
    <row r="50" spans="1:11" x14ac:dyDescent="0.2">
      <c r="A50" s="213" t="s">
        <v>162</v>
      </c>
      <c r="F50" s="126">
        <f ca="1">-'Profit &amp; Loss Account'!B69</f>
        <v>100148.21984760655</v>
      </c>
      <c r="G50" s="126">
        <f ca="1">-'Profit &amp; Loss Account'!C69</f>
        <v>0</v>
      </c>
      <c r="H50" s="126">
        <f ca="1">-'Profit &amp; Loss Account'!D69</f>
        <v>0</v>
      </c>
      <c r="I50" s="126">
        <f ca="1">-'Profit &amp; Loss Account'!E69</f>
        <v>0</v>
      </c>
      <c r="J50" s="126">
        <f ca="1">-'Profit &amp; Loss Account'!F69</f>
        <v>0</v>
      </c>
      <c r="K50" s="126">
        <f ca="1">-'Profit &amp; Loss Account'!G69</f>
        <v>0</v>
      </c>
    </row>
    <row r="51" spans="1:11" x14ac:dyDescent="0.2">
      <c r="A51" s="213" t="s">
        <v>143</v>
      </c>
      <c r="F51" s="148">
        <f t="shared" ref="F51:K51" si="6">-(F22)</f>
        <v>30000</v>
      </c>
      <c r="G51" s="66">
        <f t="shared" si="6"/>
        <v>510000</v>
      </c>
      <c r="H51" s="66">
        <f t="shared" si="6"/>
        <v>651432.06340393028</v>
      </c>
      <c r="I51" s="66">
        <f t="shared" si="6"/>
        <v>1106454.3206916738</v>
      </c>
      <c r="J51" s="66">
        <f t="shared" si="6"/>
        <v>1921587.2768853665</v>
      </c>
      <c r="K51" s="66">
        <f t="shared" si="6"/>
        <v>3603623.4761496386</v>
      </c>
    </row>
    <row r="52" spans="1:11" s="19" customFormat="1" ht="12" x14ac:dyDescent="0.25">
      <c r="A52" s="214" t="s">
        <v>153</v>
      </c>
      <c r="F52" s="67">
        <f t="shared" ref="F52:K52" ca="1" si="7">SUM(F49:F51)</f>
        <v>-1179821.2727853879</v>
      </c>
      <c r="G52" s="67">
        <f t="shared" ca="1" si="7"/>
        <v>-922300.82667260827</v>
      </c>
      <c r="H52" s="67">
        <f t="shared" ca="1" si="7"/>
        <v>205702.94530296262</v>
      </c>
      <c r="I52" s="67">
        <f t="shared" ca="1" si="7"/>
        <v>1986158.7315757542</v>
      </c>
      <c r="J52" s="67">
        <f t="shared" ca="1" si="7"/>
        <v>2686406.3021376389</v>
      </c>
      <c r="K52" s="67">
        <f t="shared" ca="1" si="7"/>
        <v>4539582.1120826881</v>
      </c>
    </row>
    <row r="53" spans="1:11" x14ac:dyDescent="0.2">
      <c r="A53" s="212" t="s">
        <v>154</v>
      </c>
      <c r="F53" s="217">
        <v>4.2000000000000003E-2</v>
      </c>
      <c r="G53" s="218">
        <f>F53</f>
        <v>4.2000000000000003E-2</v>
      </c>
      <c r="H53" s="218">
        <f>G53</f>
        <v>4.2000000000000003E-2</v>
      </c>
      <c r="I53" s="218">
        <f>H53</f>
        <v>4.2000000000000003E-2</v>
      </c>
      <c r="J53" s="218">
        <f>I53</f>
        <v>4.2000000000000003E-2</v>
      </c>
      <c r="K53" s="218">
        <f>J53</f>
        <v>4.2000000000000003E-2</v>
      </c>
    </row>
    <row r="54" spans="1:11" ht="12" x14ac:dyDescent="0.25">
      <c r="A54" s="214" t="s">
        <v>164</v>
      </c>
      <c r="B54" s="19"/>
      <c r="F54" s="67">
        <f t="shared" ref="F54:K54" ca="1" si="8">F53*F52</f>
        <v>-49552.493456986296</v>
      </c>
      <c r="G54" s="67">
        <f t="shared" ca="1" si="8"/>
        <v>-38736.634720249553</v>
      </c>
      <c r="H54" s="67">
        <f t="shared" ca="1" si="8"/>
        <v>8639.5237027244311</v>
      </c>
      <c r="I54" s="67">
        <f t="shared" ca="1" si="8"/>
        <v>83418.666726181676</v>
      </c>
      <c r="J54" s="67">
        <f t="shared" ca="1" si="8"/>
        <v>112829.06468978085</v>
      </c>
      <c r="K54" s="67">
        <f t="shared" ca="1" si="8"/>
        <v>190662.44870747291</v>
      </c>
    </row>
    <row r="56" spans="1:11" ht="12" x14ac:dyDescent="0.25">
      <c r="A56" s="214" t="s">
        <v>155</v>
      </c>
      <c r="B56" s="19"/>
      <c r="F56" s="67">
        <f t="shared" ref="F56:K56" ca="1" si="9">+F46+F54</f>
        <v>-363945.17168890499</v>
      </c>
      <c r="G56" s="67">
        <f t="shared" ca="1" si="9"/>
        <v>-382488.83312167553</v>
      </c>
      <c r="H56" s="67">
        <f t="shared" ca="1" si="9"/>
        <v>-98335.464641507802</v>
      </c>
      <c r="I56" s="67">
        <f t="shared" ca="1" si="9"/>
        <v>91803.052669731449</v>
      </c>
      <c r="J56" s="67">
        <f t="shared" ca="1" si="9"/>
        <v>296385.63075032621</v>
      </c>
      <c r="K56" s="67">
        <f t="shared" ca="1" si="9"/>
        <v>415292.52133140469</v>
      </c>
    </row>
    <row r="57" spans="1:11" x14ac:dyDescent="0.2">
      <c r="A57" s="213" t="s">
        <v>156</v>
      </c>
      <c r="F57" s="66">
        <f t="shared" ref="F57:K57" si="10">IF(E56&lt;=0,0,-E56)</f>
        <v>0</v>
      </c>
      <c r="G57" s="66">
        <f t="shared" ca="1" si="10"/>
        <v>0</v>
      </c>
      <c r="H57" s="66">
        <f t="shared" ca="1" si="10"/>
        <v>0</v>
      </c>
      <c r="I57" s="66">
        <f t="shared" ca="1" si="10"/>
        <v>0</v>
      </c>
      <c r="J57" s="66">
        <f t="shared" ca="1" si="10"/>
        <v>-91803.052669731449</v>
      </c>
      <c r="K57" s="66">
        <f t="shared" ca="1" si="10"/>
        <v>-296385.63075032621</v>
      </c>
    </row>
    <row r="58" spans="1:11" x14ac:dyDescent="0.2">
      <c r="A58" s="213" t="s">
        <v>157</v>
      </c>
      <c r="F58" s="66">
        <f t="shared" ref="F58:K58" si="11">IF(E56&lt;=0,0,-(E56+E57))</f>
        <v>0</v>
      </c>
      <c r="G58" s="66">
        <f t="shared" ca="1" si="11"/>
        <v>0</v>
      </c>
      <c r="H58" s="66">
        <f t="shared" ca="1" si="11"/>
        <v>0</v>
      </c>
      <c r="I58" s="66">
        <f t="shared" ca="1" si="11"/>
        <v>0</v>
      </c>
      <c r="J58" s="66">
        <f t="shared" ca="1" si="11"/>
        <v>-91803.052669731449</v>
      </c>
      <c r="K58" s="66">
        <f t="shared" ca="1" si="11"/>
        <v>-204582.57808059477</v>
      </c>
    </row>
    <row r="59" spans="1:11" s="19" customFormat="1" ht="12" x14ac:dyDescent="0.25">
      <c r="A59" s="213" t="s">
        <v>158</v>
      </c>
      <c r="F59" s="23">
        <f t="shared" ref="F59:K59" si="12">F58+F57</f>
        <v>0</v>
      </c>
      <c r="G59" s="67">
        <f t="shared" ca="1" si="12"/>
        <v>0</v>
      </c>
      <c r="H59" s="67">
        <f t="shared" ca="1" si="12"/>
        <v>0</v>
      </c>
      <c r="I59" s="67">
        <f t="shared" ca="1" si="12"/>
        <v>0</v>
      </c>
      <c r="J59" s="67">
        <f t="shared" ca="1" si="12"/>
        <v>-183606.1053394629</v>
      </c>
      <c r="K59" s="67">
        <f t="shared" ca="1" si="12"/>
        <v>-500968.20883092098</v>
      </c>
    </row>
    <row r="60" spans="1:11" ht="12" x14ac:dyDescent="0.25">
      <c r="A60" s="214"/>
      <c r="F60" s="23"/>
      <c r="G60" s="23"/>
      <c r="H60" s="23"/>
      <c r="I60" s="23"/>
      <c r="J60" s="23"/>
      <c r="K60" s="23"/>
    </row>
    <row r="61" spans="1:11" s="5" customFormat="1" x14ac:dyDescent="0.2">
      <c r="A61" s="213" t="s">
        <v>159</v>
      </c>
      <c r="B61"/>
      <c r="F61" s="66">
        <f t="shared" ref="F61:K61" ca="1" si="13">-F56</f>
        <v>363945.17168890499</v>
      </c>
      <c r="G61" s="66">
        <f t="shared" ca="1" si="13"/>
        <v>382488.83312167553</v>
      </c>
      <c r="H61" s="66">
        <f t="shared" ca="1" si="13"/>
        <v>98335.464641507802</v>
      </c>
      <c r="I61" s="66">
        <f t="shared" ca="1" si="13"/>
        <v>-91803.052669731449</v>
      </c>
      <c r="J61" s="66">
        <f t="shared" ca="1" si="13"/>
        <v>-296385.63075032621</v>
      </c>
      <c r="K61" s="66">
        <f t="shared" ca="1" si="13"/>
        <v>-415292.52133140469</v>
      </c>
    </row>
    <row r="62" spans="1:11" s="5" customFormat="1" ht="12" x14ac:dyDescent="0.25">
      <c r="A62" s="213" t="s">
        <v>161</v>
      </c>
      <c r="B62"/>
      <c r="F62" s="66">
        <f t="shared" ref="F62:K62" si="14">F59</f>
        <v>0</v>
      </c>
      <c r="G62" s="67">
        <f t="shared" ca="1" si="14"/>
        <v>0</v>
      </c>
      <c r="H62" s="66">
        <f t="shared" ca="1" si="14"/>
        <v>0</v>
      </c>
      <c r="I62" s="66">
        <f t="shared" ca="1" si="14"/>
        <v>0</v>
      </c>
      <c r="J62" s="66">
        <f t="shared" ca="1" si="14"/>
        <v>-183606.1053394629</v>
      </c>
      <c r="K62" s="66">
        <f t="shared" ca="1" si="14"/>
        <v>-500968.20883092098</v>
      </c>
    </row>
    <row r="63" spans="1:11" ht="12" x14ac:dyDescent="0.25">
      <c r="A63" s="214" t="s">
        <v>160</v>
      </c>
      <c r="B63" s="19"/>
      <c r="F63" s="67">
        <f t="shared" ref="F63:K63" ca="1" si="15">F61-F62+E63</f>
        <v>363945.17168890499</v>
      </c>
      <c r="G63" s="67">
        <f t="shared" ca="1" si="15"/>
        <v>746434.00481058052</v>
      </c>
      <c r="H63" s="67">
        <f t="shared" ca="1" si="15"/>
        <v>844769.46945208835</v>
      </c>
      <c r="I63" s="67">
        <f t="shared" ca="1" si="15"/>
        <v>752966.41678235692</v>
      </c>
      <c r="J63" s="67">
        <f t="shared" ca="1" si="15"/>
        <v>640186.89137149358</v>
      </c>
      <c r="K63" s="67">
        <f t="shared" ca="1" si="15"/>
        <v>725862.57887100987</v>
      </c>
    </row>
    <row r="65" spans="1:12" ht="15" x14ac:dyDescent="0.2">
      <c r="A65" s="26" t="s">
        <v>171</v>
      </c>
      <c r="B65" s="33"/>
      <c r="C65" s="33"/>
      <c r="D65" s="33"/>
      <c r="E65" s="33"/>
      <c r="F65" s="33"/>
      <c r="G65" s="33"/>
      <c r="H65" s="33"/>
      <c r="I65" s="33"/>
      <c r="J65" s="33"/>
      <c r="K65" s="33"/>
    </row>
    <row r="68" spans="1:12" s="19" customFormat="1" ht="12" x14ac:dyDescent="0.25">
      <c r="A68" s="19" t="s">
        <v>169</v>
      </c>
      <c r="F68" s="72">
        <f t="shared" ref="F68:K68" si="16">F72+F76</f>
        <v>196197.86666666667</v>
      </c>
      <c r="G68" s="72">
        <f t="shared" si="16"/>
        <v>170864.15681822519</v>
      </c>
      <c r="H68" s="67">
        <f t="shared" ca="1" si="16"/>
        <v>355125.78015414684</v>
      </c>
      <c r="I68" s="67">
        <f t="shared" ca="1" si="16"/>
        <v>387631.73587893753</v>
      </c>
      <c r="J68" s="67">
        <f t="shared" ca="1" si="16"/>
        <v>5289046.711830779</v>
      </c>
      <c r="K68" s="67">
        <f t="shared" ca="1" si="16"/>
        <v>4292564.2724697515</v>
      </c>
    </row>
    <row r="69" spans="1:12" ht="12" x14ac:dyDescent="0.25">
      <c r="A69" s="19"/>
    </row>
    <row r="70" spans="1:12" x14ac:dyDescent="0.2">
      <c r="A70" s="5" t="s">
        <v>81</v>
      </c>
      <c r="F70" s="70">
        <f>'Computations 1'!G55</f>
        <v>0</v>
      </c>
      <c r="G70" s="70">
        <f>'Computations 1'!H55</f>
        <v>20000</v>
      </c>
      <c r="H70" s="70">
        <f ca="1">'Computations 1'!I55</f>
        <v>174978.05042690481</v>
      </c>
      <c r="I70" s="70">
        <f>'Computations 1'!J55</f>
        <v>20000</v>
      </c>
      <c r="J70" s="70">
        <f>'Computations 1'!K55</f>
        <v>20000</v>
      </c>
      <c r="K70" s="70">
        <f>'Computations 1'!L55</f>
        <v>20000</v>
      </c>
    </row>
    <row r="71" spans="1:12" x14ac:dyDescent="0.2">
      <c r="A71" s="5" t="s">
        <v>114</v>
      </c>
      <c r="F71" s="66">
        <f>'Computations 1'!G56</f>
        <v>0</v>
      </c>
      <c r="G71" s="66">
        <f>'Computations 1'!H56</f>
        <v>-4000</v>
      </c>
      <c r="H71" s="66">
        <f ca="1">'Computations 1'!I56</f>
        <v>-23297.805042690481</v>
      </c>
      <c r="I71" s="66">
        <f ca="1">'Computations 1'!J56</f>
        <v>-27297.805042690481</v>
      </c>
      <c r="J71" s="66">
        <f ca="1">'Computations 1'!K56</f>
        <v>-31297.805042690481</v>
      </c>
      <c r="K71" s="66">
        <f ca="1">'Computations 1'!L56</f>
        <v>-35297.805042690481</v>
      </c>
    </row>
    <row r="72" spans="1:12" ht="12" x14ac:dyDescent="0.25">
      <c r="A72" s="19" t="s">
        <v>168</v>
      </c>
      <c r="B72" s="19"/>
      <c r="E72" s="83"/>
      <c r="F72" s="69">
        <f t="shared" ref="F72:K72" si="17">+SUM(F70:F71)+E72</f>
        <v>0</v>
      </c>
      <c r="G72" s="69">
        <f t="shared" si="17"/>
        <v>16000</v>
      </c>
      <c r="H72" s="69">
        <f t="shared" ca="1" si="17"/>
        <v>167680.24538421433</v>
      </c>
      <c r="I72" s="69">
        <f t="shared" ca="1" si="17"/>
        <v>160382.44034152385</v>
      </c>
      <c r="J72" s="69">
        <f t="shared" ca="1" si="17"/>
        <v>149084.63529883337</v>
      </c>
      <c r="K72" s="69">
        <f t="shared" ca="1" si="17"/>
        <v>133786.83025614289</v>
      </c>
    </row>
    <row r="74" spans="1:12" x14ac:dyDescent="0.2">
      <c r="A74" s="5" t="s">
        <v>81</v>
      </c>
      <c r="F74" s="71">
        <f>+'Computations 1'!G66</f>
        <v>245247.33333333334</v>
      </c>
      <c r="G74" s="71">
        <f>+'Computations 1'!H66</f>
        <v>9521.0293561148119</v>
      </c>
      <c r="H74" s="71">
        <f>+'Computations 1'!I66</f>
        <v>99658.298432726602</v>
      </c>
      <c r="I74" s="71">
        <f>+'Computations 1'!J66</f>
        <v>113408.55035699994</v>
      </c>
      <c r="J74" s="71">
        <f>+'Computations 1'!K66</f>
        <v>6171384.9892565357</v>
      </c>
      <c r="K74" s="71">
        <f>+'Computations 1'!L66</f>
        <v>236428.94677484359</v>
      </c>
    </row>
    <row r="75" spans="1:12" x14ac:dyDescent="0.2">
      <c r="A75" s="5" t="s">
        <v>114</v>
      </c>
      <c r="F75" s="66">
        <f>'Computations 1'!G67</f>
        <v>-49049.466666666667</v>
      </c>
      <c r="G75" s="66">
        <f>'Computations 1'!H67</f>
        <v>-50854.739204556296</v>
      </c>
      <c r="H75" s="66">
        <f>'Computations 1'!I67</f>
        <v>-67076.920481989029</v>
      </c>
      <c r="I75" s="66">
        <f>'Computations 1'!J67</f>
        <v>-73604.789589410968</v>
      </c>
      <c r="J75" s="66">
        <f>'Computations 1'!K67</f>
        <v>-1258672.2082618962</v>
      </c>
      <c r="K75" s="66">
        <f>'Computations 1'!L67</f>
        <v>-1217613.5810930724</v>
      </c>
      <c r="L75" s="71"/>
    </row>
    <row r="76" spans="1:12" s="19" customFormat="1" ht="12" x14ac:dyDescent="0.25">
      <c r="A76" s="19" t="s">
        <v>188</v>
      </c>
      <c r="F76" s="72">
        <f>F74+F75+E76</f>
        <v>196197.86666666667</v>
      </c>
      <c r="G76" s="72">
        <f>G74+G75+F76</f>
        <v>154864.15681822519</v>
      </c>
      <c r="H76" s="72">
        <f>H74+H75+G76</f>
        <v>187445.53476896277</v>
      </c>
      <c r="I76" s="72">
        <f>I74+I75+H76</f>
        <v>227249.29553655174</v>
      </c>
      <c r="J76" s="69">
        <f>(J74+J75+I76)</f>
        <v>5139962.0765311914</v>
      </c>
      <c r="K76" s="72">
        <f>K74+K75+J76</f>
        <v>4158777.4422129625</v>
      </c>
    </row>
    <row r="78" spans="1:12" ht="12" x14ac:dyDescent="0.25">
      <c r="A78" s="19" t="s">
        <v>117</v>
      </c>
    </row>
    <row r="80" spans="1:12" x14ac:dyDescent="0.2">
      <c r="A80" s="5" t="s">
        <v>123</v>
      </c>
      <c r="B80" s="5"/>
      <c r="F80" s="66">
        <f>+'Computations 1'!G83</f>
        <v>15087.333333333338</v>
      </c>
      <c r="G80" s="66">
        <f>+'Computations 1'!H83</f>
        <v>387188.527148669</v>
      </c>
      <c r="H80" s="66">
        <f>+'Computations 1'!I83</f>
        <v>2019437.4695975482</v>
      </c>
      <c r="I80" s="66">
        <f>+'Computations 1'!J83</f>
        <v>4611947.7145179976</v>
      </c>
      <c r="J80" s="66">
        <f>+'Computations 1'!K83</f>
        <v>6969656.2297658008</v>
      </c>
      <c r="K80" s="66">
        <f>+'Computations 1'!L83</f>
        <v>9614777.16884364</v>
      </c>
    </row>
    <row r="81" spans="1:11" x14ac:dyDescent="0.2">
      <c r="A81" s="50" t="s">
        <v>118</v>
      </c>
      <c r="B81" s="25"/>
      <c r="F81" s="68">
        <f>+'Computations 1'!G84</f>
        <v>-14936.460000000005</v>
      </c>
      <c r="G81" s="68">
        <f>+'Computations 1'!H84</f>
        <v>-351811.16446261934</v>
      </c>
      <c r="H81" s="68">
        <f>+'Computations 1'!I84</f>
        <v>-1834921.74463569</v>
      </c>
      <c r="I81" s="68">
        <f>+'Computations 1'!J84</f>
        <v>-4190554.6836161478</v>
      </c>
      <c r="J81" s="68">
        <f>+'Computations 1'!K84</f>
        <v>-6332839.6947995285</v>
      </c>
      <c r="K81" s="68">
        <f>+'Computations 1'!L84</f>
        <v>-8736276.2960191593</v>
      </c>
    </row>
    <row r="82" spans="1:11" x14ac:dyDescent="0.2">
      <c r="A82" s="50" t="s">
        <v>119</v>
      </c>
      <c r="B82" s="25"/>
      <c r="F82" s="68">
        <f>+'Computations 1'!G85</f>
        <v>-138.47278538812802</v>
      </c>
      <c r="G82" s="68">
        <f>+'Computations 1'!H85</f>
        <v>-3553.6481258850472</v>
      </c>
      <c r="H82" s="68">
        <f>+'Computations 1'!I85</f>
        <v>-18534.563077128198</v>
      </c>
      <c r="I82" s="68">
        <f>+'Computations 1'!J85</f>
        <v>-42328.835188041936</v>
      </c>
      <c r="J82" s="68">
        <f>+'Computations 1'!K85</f>
        <v>-63968.077725247815</v>
      </c>
      <c r="K82" s="68">
        <f>+'Computations 1'!L85</f>
        <v>-88245.215111304715</v>
      </c>
    </row>
    <row r="83" spans="1:11" s="19" customFormat="1" ht="12" x14ac:dyDescent="0.25">
      <c r="A83" s="19" t="s">
        <v>120</v>
      </c>
      <c r="F83" s="124">
        <f>+'Computations 1'!G86</f>
        <v>1240.0547945205483</v>
      </c>
      <c r="G83" s="137">
        <f>+'Computations 1'!H86</f>
        <v>31823.714560164579</v>
      </c>
      <c r="H83" s="137">
        <f>+'Computations 1'!I86</f>
        <v>165981.16188473001</v>
      </c>
      <c r="I83" s="137">
        <f>+'Computations 1'!J86</f>
        <v>379064.195713808</v>
      </c>
      <c r="J83" s="137">
        <f>+'Computations 1'!K86</f>
        <v>572848.45724102482</v>
      </c>
      <c r="K83" s="137">
        <f>+'Computations 1'!L86</f>
        <v>790255.65771317598</v>
      </c>
    </row>
    <row r="84" spans="1:11" x14ac:dyDescent="0.2">
      <c r="A84" t="s">
        <v>121</v>
      </c>
      <c r="B84" s="25" t="s">
        <v>14</v>
      </c>
      <c r="F84" s="99">
        <f>'Computations 1'!G87</f>
        <v>30</v>
      </c>
      <c r="G84" s="99">
        <f>'Computations 1'!H87</f>
        <v>30</v>
      </c>
      <c r="H84" s="99">
        <f>'Computations 1'!I87</f>
        <v>30</v>
      </c>
      <c r="I84" s="99">
        <f>'Computations 1'!J87</f>
        <v>30</v>
      </c>
      <c r="J84" s="99">
        <f>'Computations 1'!K87</f>
        <v>30</v>
      </c>
      <c r="K84" s="99">
        <f>'Computations 1'!L87</f>
        <v>30</v>
      </c>
    </row>
    <row r="87" spans="1:11" x14ac:dyDescent="0.2">
      <c r="A87" s="5" t="s">
        <v>124</v>
      </c>
      <c r="F87" s="66">
        <f>-'Computations 1'!G91</f>
        <v>-1387702.8871391076</v>
      </c>
      <c r="G87" s="66">
        <f>-'Computations 1'!H91</f>
        <v>-2798188.1519412799</v>
      </c>
      <c r="H87" s="66">
        <f>-'Computations 1'!I91</f>
        <v>-2993503.3506240612</v>
      </c>
      <c r="I87" s="66">
        <f>-'Computations 1'!J91</f>
        <v>-3273911.5633609868</v>
      </c>
      <c r="J87" s="66">
        <f>-'Computations 1'!K91</f>
        <v>-3506329.0677384562</v>
      </c>
      <c r="K87" s="66">
        <f>-'Computations 1'!L91</f>
        <v>-3727876.2281357781</v>
      </c>
    </row>
    <row r="88" spans="1:11" ht="12" x14ac:dyDescent="0.25">
      <c r="A88" s="19" t="s">
        <v>125</v>
      </c>
      <c r="B88" s="19"/>
      <c r="C88" s="19"/>
      <c r="D88" s="19"/>
      <c r="E88" s="19"/>
      <c r="F88" s="67">
        <f>-'Computations 1'!G92</f>
        <v>-114057.77154568008</v>
      </c>
      <c r="G88" s="67">
        <f>-'Computations 1'!H92</f>
        <v>-229988.06728284492</v>
      </c>
      <c r="H88" s="67">
        <f>-'Computations 1'!I92</f>
        <v>-246041.37128416941</v>
      </c>
      <c r="I88" s="67">
        <f>-'Computations 1'!J92</f>
        <v>-269088.62164610851</v>
      </c>
      <c r="J88" s="67">
        <f>-'Computations 1'!K92</f>
        <v>-288191.4302250786</v>
      </c>
      <c r="K88" s="67">
        <f>-'Computations 1'!L92</f>
        <v>-306400.78587417351</v>
      </c>
    </row>
    <row r="89" spans="1:11" x14ac:dyDescent="0.2">
      <c r="A89" t="s">
        <v>126</v>
      </c>
      <c r="B89" t="s">
        <v>14</v>
      </c>
      <c r="F89" s="99">
        <f>'Computations 1'!G93</f>
        <v>30</v>
      </c>
      <c r="G89" s="99">
        <f>'Computations 1'!H93</f>
        <v>30</v>
      </c>
      <c r="H89" s="99">
        <f>'Computations 1'!I93</f>
        <v>30</v>
      </c>
      <c r="I89" s="99">
        <f>'Computations 1'!J93</f>
        <v>30</v>
      </c>
      <c r="J89" s="99">
        <f>'Computations 1'!K93</f>
        <v>30</v>
      </c>
      <c r="K89" s="99">
        <f>'Computations 1'!L93</f>
        <v>30</v>
      </c>
    </row>
    <row r="91" spans="1:11" ht="12" x14ac:dyDescent="0.25">
      <c r="A91" s="19" t="s">
        <v>167</v>
      </c>
      <c r="B91" s="19"/>
      <c r="F91" s="67">
        <f>'Computations 1'!G103</f>
        <v>248133.74666666667</v>
      </c>
      <c r="G91" s="67">
        <f>'Computations 1'!H103</f>
        <v>436941.14223167719</v>
      </c>
      <c r="H91" s="67">
        <f ca="1">'Computations 1'!I103</f>
        <v>239095.07169044472</v>
      </c>
      <c r="I91" s="67">
        <f ca="1">'Computations 1'!J103</f>
        <v>-200387.8717256299</v>
      </c>
      <c r="J91" s="67">
        <f ca="1">'Computations 1'!K103</f>
        <v>732140.1083736805</v>
      </c>
      <c r="K91" s="67">
        <f ca="1">'Computations 1'!L103</f>
        <v>-1010979.0900964842</v>
      </c>
    </row>
    <row r="92" spans="1:11" ht="12" x14ac:dyDescent="0.25">
      <c r="A92" s="19"/>
      <c r="B92" s="19"/>
      <c r="F92" s="67"/>
      <c r="G92" s="67"/>
      <c r="H92" s="67"/>
      <c r="I92" s="67"/>
      <c r="J92" s="67"/>
      <c r="K92" s="67"/>
    </row>
    <row r="93" spans="1:11" s="19" customFormat="1" ht="12" x14ac:dyDescent="0.25">
      <c r="A93" s="19" t="s">
        <v>166</v>
      </c>
      <c r="F93" s="67">
        <f>'Computations 1'!G115</f>
        <v>-827.22709223046331</v>
      </c>
      <c r="G93" s="67">
        <f>'Computations 1'!H115</f>
        <v>-14890.087660148351</v>
      </c>
      <c r="H93" s="67">
        <f>'Computations 1'!I115</f>
        <v>-32852.829379992487</v>
      </c>
      <c r="I93" s="67">
        <f>'Computations 1'!J115</f>
        <v>-63362.462393046051</v>
      </c>
      <c r="J93" s="67">
        <f>'Computations 1'!K115</f>
        <v>-116348.7642438773</v>
      </c>
      <c r="K93" s="67">
        <f>'Computations 1'!L115</f>
        <v>-215715.92989950074</v>
      </c>
    </row>
    <row r="94" spans="1:11" ht="12" x14ac:dyDescent="0.25">
      <c r="A94" s="19"/>
      <c r="B94" s="19"/>
      <c r="F94" s="67"/>
      <c r="G94" s="67"/>
      <c r="H94" s="67"/>
      <c r="I94" s="67"/>
      <c r="J94" s="67"/>
      <c r="K94" s="67"/>
    </row>
    <row r="95" spans="1:11" ht="12" x14ac:dyDescent="0.25">
      <c r="A95" s="19"/>
      <c r="B95" s="19"/>
      <c r="F95" s="67"/>
      <c r="G95" s="67"/>
      <c r="H95" s="67"/>
      <c r="I95" s="67"/>
      <c r="J95" s="67"/>
      <c r="K95" s="67"/>
    </row>
    <row r="97" spans="1:14" s="19" customFormat="1" ht="12" x14ac:dyDescent="0.25">
      <c r="A97" s="19" t="s">
        <v>15</v>
      </c>
      <c r="F97" s="67">
        <f t="shared" ref="F97:K97" si="18">SUM(F98:F99)</f>
        <v>-1636.936859711946</v>
      </c>
      <c r="G97" s="67">
        <f t="shared" si="18"/>
        <v>-30664.474249101899</v>
      </c>
      <c r="H97" s="67">
        <f t="shared" si="18"/>
        <v>-81598.816003289467</v>
      </c>
      <c r="I97" s="67">
        <f t="shared" si="18"/>
        <v>-175501.59859461949</v>
      </c>
      <c r="J97" s="67">
        <f t="shared" si="18"/>
        <v>-313362.44845320261</v>
      </c>
      <c r="K97" s="67">
        <f t="shared" si="18"/>
        <v>-520879.41529806366</v>
      </c>
    </row>
    <row r="98" spans="1:14" x14ac:dyDescent="0.2">
      <c r="A98" s="5" t="s">
        <v>32</v>
      </c>
      <c r="B98" s="5"/>
      <c r="F98" s="66">
        <f>-'Computations 1'!G108</f>
        <v>-138.47278538812802</v>
      </c>
      <c r="G98" s="66">
        <f>-'Computations 1'!H108</f>
        <v>-3692.1209112731754</v>
      </c>
      <c r="H98" s="66">
        <f>-'Computations 1'!I108</f>
        <v>-22088.211203013245</v>
      </c>
      <c r="I98" s="66">
        <f>-'Computations 1'!J108</f>
        <v>-60724.925479782003</v>
      </c>
      <c r="J98" s="66">
        <f>-'Computations 1'!K108</f>
        <v>-102604.79200201658</v>
      </c>
      <c r="K98" s="66">
        <f>-'Computations 1'!L108</f>
        <v>-130125.08163353927</v>
      </c>
    </row>
    <row r="99" spans="1:14" x14ac:dyDescent="0.2">
      <c r="A99" s="84" t="s">
        <v>31</v>
      </c>
      <c r="F99" s="66">
        <f>-'Computations 1'!G107</f>
        <v>-1498.4640743238181</v>
      </c>
      <c r="G99" s="66">
        <f>-'Computations 1'!H107</f>
        <v>-26972.353337828725</v>
      </c>
      <c r="H99" s="66">
        <f>-'Computations 1'!I107</f>
        <v>-59510.604800276225</v>
      </c>
      <c r="I99" s="66">
        <f>-'Computations 1'!J107</f>
        <v>-114776.67311483747</v>
      </c>
      <c r="J99" s="66">
        <f>-'Computations 1'!K107</f>
        <v>-210757.65645118605</v>
      </c>
      <c r="K99" s="66">
        <f>-'Computations 1'!L107</f>
        <v>-390754.33366452437</v>
      </c>
    </row>
    <row r="100" spans="1:14" ht="12" x14ac:dyDescent="0.25">
      <c r="A100" s="19"/>
      <c r="F100" s="21"/>
      <c r="G100" s="21"/>
      <c r="H100" s="21"/>
      <c r="I100" s="21"/>
      <c r="J100" s="21"/>
      <c r="K100" s="21"/>
    </row>
    <row r="102" spans="1:14" s="19" customFormat="1" ht="12" x14ac:dyDescent="0.25">
      <c r="A102" s="19" t="s">
        <v>173</v>
      </c>
      <c r="F102" s="67">
        <f t="shared" ref="F102:K102" ca="1" si="19">+SUM(F103:F107)</f>
        <v>-1309969.4926329944</v>
      </c>
      <c r="G102" s="104">
        <f t="shared" ca="1" si="19"/>
        <v>1621674.8523833023</v>
      </c>
      <c r="H102" s="104">
        <f t="shared" ca="1" si="19"/>
        <v>1558434.5674021144</v>
      </c>
      <c r="I102" s="104">
        <f t="shared" ca="1" si="19"/>
        <v>2536474.4429250984</v>
      </c>
      <c r="J102" s="104">
        <f t="shared" ca="1" si="19"/>
        <v>7111686.4279556088</v>
      </c>
      <c r="K102" s="104">
        <f t="shared" ca="1" si="19"/>
        <v>7714460.2261762666</v>
      </c>
      <c r="M102" s="125"/>
    </row>
    <row r="103" spans="1:14" x14ac:dyDescent="0.2">
      <c r="A103" s="5" t="s">
        <v>174</v>
      </c>
      <c r="F103" s="73">
        <f t="shared" ref="F103:K103" si="20">E103+F109*F113</f>
        <v>0</v>
      </c>
      <c r="G103" s="73">
        <f t="shared" si="20"/>
        <v>400000</v>
      </c>
      <c r="H103" s="73">
        <f t="shared" si="20"/>
        <v>400000</v>
      </c>
      <c r="I103" s="73">
        <f t="shared" si="20"/>
        <v>400000</v>
      </c>
      <c r="J103" s="73">
        <f t="shared" si="20"/>
        <v>800000</v>
      </c>
      <c r="K103" s="73">
        <f t="shared" si="20"/>
        <v>800000</v>
      </c>
      <c r="M103" s="83"/>
    </row>
    <row r="104" spans="1:14" x14ac:dyDescent="0.2">
      <c r="A104" s="5" t="s">
        <v>175</v>
      </c>
      <c r="F104" s="73">
        <f t="shared" ref="F104:K104" si="21">E104+F109*F114</f>
        <v>0</v>
      </c>
      <c r="G104" s="73">
        <f t="shared" si="21"/>
        <v>3600000</v>
      </c>
      <c r="H104" s="73">
        <f t="shared" si="21"/>
        <v>3600000</v>
      </c>
      <c r="I104" s="73">
        <f t="shared" si="21"/>
        <v>3600000</v>
      </c>
      <c r="J104" s="73">
        <f t="shared" si="21"/>
        <v>7200000</v>
      </c>
      <c r="K104" s="73">
        <f t="shared" si="21"/>
        <v>7200000</v>
      </c>
      <c r="M104" s="177"/>
    </row>
    <row r="105" spans="1:14" x14ac:dyDescent="0.2">
      <c r="A105" s="5" t="s">
        <v>176</v>
      </c>
      <c r="F105" s="66">
        <f t="shared" ref="F105:K105" si="22">E105+E106</f>
        <v>0</v>
      </c>
      <c r="G105" s="66">
        <f t="shared" ca="1" si="22"/>
        <v>-1309969.4926329944</v>
      </c>
      <c r="H105" s="66">
        <f t="shared" ca="1" si="22"/>
        <v>-2378325.1476166975</v>
      </c>
      <c r="I105" s="66">
        <f t="shared" ca="1" si="22"/>
        <v>-2441565.4325978858</v>
      </c>
      <c r="J105" s="66">
        <f t="shared" ca="1" si="22"/>
        <v>-1463525.5570754441</v>
      </c>
      <c r="K105" s="66">
        <f t="shared" ca="1" si="22"/>
        <v>-790509.58449314686</v>
      </c>
    </row>
    <row r="106" spans="1:14" x14ac:dyDescent="0.2">
      <c r="A106" s="5" t="s">
        <v>177</v>
      </c>
      <c r="F106" s="66">
        <f ca="1">'Profit &amp; Loss Account'!B79</f>
        <v>-1309969.4926329944</v>
      </c>
      <c r="G106" s="66">
        <f ca="1">'Profit &amp; Loss Account'!C79</f>
        <v>-1068355.6549837033</v>
      </c>
      <c r="H106" s="66">
        <f ca="1">'Profit &amp; Loss Account'!D79</f>
        <v>-63240.284979292133</v>
      </c>
      <c r="I106" s="66">
        <f ca="1">'Profit &amp; Loss Account'!E79</f>
        <v>978039.87552612298</v>
      </c>
      <c r="J106" s="66">
        <f ca="1">'Profit &amp; Loss Account'!F79</f>
        <v>673015.97258349904</v>
      </c>
      <c r="K106" s="66">
        <f ca="1">'Profit &amp; Loss Account'!G79</f>
        <v>639573.00518287986</v>
      </c>
      <c r="N106" s="5" t="s">
        <v>202</v>
      </c>
    </row>
    <row r="107" spans="1:14" x14ac:dyDescent="0.2">
      <c r="A107" s="5" t="s">
        <v>178</v>
      </c>
      <c r="F107" s="66">
        <f t="shared" ref="F107:K107" si="23">IF(-(+E106)*E118&gt;0,0,-(+E106)*E118)</f>
        <v>0</v>
      </c>
      <c r="G107" s="66">
        <f t="shared" ca="1" si="23"/>
        <v>0</v>
      </c>
      <c r="H107" s="66">
        <f t="shared" ca="1" si="23"/>
        <v>0</v>
      </c>
      <c r="I107" s="66">
        <f t="shared" ca="1" si="23"/>
        <v>0</v>
      </c>
      <c r="J107" s="66">
        <f t="shared" ca="1" si="23"/>
        <v>-97803.987552612307</v>
      </c>
      <c r="K107" s="66">
        <f t="shared" ca="1" si="23"/>
        <v>-134603.19451669982</v>
      </c>
    </row>
    <row r="108" spans="1:14" x14ac:dyDescent="0.2">
      <c r="A108" s="5"/>
      <c r="F108" s="66"/>
      <c r="G108" s="66"/>
      <c r="H108" s="66"/>
      <c r="I108" s="66"/>
      <c r="J108" s="66"/>
      <c r="K108" s="66"/>
    </row>
    <row r="109" spans="1:14" ht="12" x14ac:dyDescent="0.25">
      <c r="A109" s="178" t="s">
        <v>180</v>
      </c>
      <c r="B109" s="19" t="s">
        <v>36</v>
      </c>
      <c r="C109" s="125">
        <f>+SUM(F109:K109)</f>
        <v>8000000</v>
      </c>
      <c r="D109" s="125"/>
      <c r="F109" s="82"/>
      <c r="G109" s="82">
        <v>4000000</v>
      </c>
      <c r="H109" s="82">
        <v>0</v>
      </c>
      <c r="I109" s="82">
        <v>0</v>
      </c>
      <c r="J109" s="82">
        <v>4000000</v>
      </c>
      <c r="K109" s="82">
        <v>0</v>
      </c>
    </row>
    <row r="110" spans="1:14" ht="12" x14ac:dyDescent="0.25">
      <c r="A110" s="178" t="s">
        <v>186</v>
      </c>
      <c r="B110" s="19"/>
      <c r="C110" s="125"/>
      <c r="D110" s="125"/>
      <c r="F110" s="82">
        <v>0</v>
      </c>
      <c r="G110" s="82">
        <v>0</v>
      </c>
      <c r="H110" s="82">
        <v>0</v>
      </c>
      <c r="I110" s="82">
        <v>0</v>
      </c>
      <c r="J110" s="82">
        <v>0</v>
      </c>
      <c r="K110" s="82">
        <v>0</v>
      </c>
    </row>
    <row r="111" spans="1:14" x14ac:dyDescent="0.2">
      <c r="A111" s="5"/>
      <c r="F111" s="73"/>
      <c r="G111" s="73"/>
      <c r="H111" s="73"/>
      <c r="I111" s="73"/>
      <c r="J111" s="73"/>
      <c r="K111" s="73"/>
    </row>
    <row r="112" spans="1:14" x14ac:dyDescent="0.2">
      <c r="A112" s="5"/>
      <c r="F112" s="73"/>
      <c r="G112" s="73"/>
      <c r="H112" s="73"/>
      <c r="I112" s="73"/>
      <c r="J112" s="73"/>
      <c r="K112" s="73"/>
    </row>
    <row r="113" spans="1:11" x14ac:dyDescent="0.2">
      <c r="A113" s="5" t="s">
        <v>182</v>
      </c>
      <c r="F113" s="79">
        <v>0.1</v>
      </c>
      <c r="G113" s="78">
        <f t="shared" ref="G113:K114" si="24">F113</f>
        <v>0.1</v>
      </c>
      <c r="H113" s="78">
        <f t="shared" si="24"/>
        <v>0.1</v>
      </c>
      <c r="I113" s="78">
        <f t="shared" si="24"/>
        <v>0.1</v>
      </c>
      <c r="J113" s="78">
        <f t="shared" si="24"/>
        <v>0.1</v>
      </c>
      <c r="K113" s="78">
        <f t="shared" si="24"/>
        <v>0.1</v>
      </c>
    </row>
    <row r="114" spans="1:11" x14ac:dyDescent="0.2">
      <c r="A114" s="5" t="s">
        <v>183</v>
      </c>
      <c r="F114" s="79">
        <v>0.9</v>
      </c>
      <c r="G114" s="78">
        <f t="shared" si="24"/>
        <v>0.9</v>
      </c>
      <c r="H114" s="78">
        <f t="shared" si="24"/>
        <v>0.9</v>
      </c>
      <c r="I114" s="78">
        <f t="shared" si="24"/>
        <v>0.9</v>
      </c>
      <c r="J114" s="78">
        <f t="shared" si="24"/>
        <v>0.9</v>
      </c>
      <c r="K114" s="78">
        <f t="shared" si="24"/>
        <v>0.9</v>
      </c>
    </row>
    <row r="115" spans="1:11" x14ac:dyDescent="0.2">
      <c r="A115" s="5"/>
      <c r="F115" s="21"/>
      <c r="G115" s="21"/>
      <c r="H115" s="21"/>
      <c r="I115" s="21"/>
      <c r="J115" s="21"/>
      <c r="K115" s="21"/>
    </row>
    <row r="116" spans="1:11" x14ac:dyDescent="0.2">
      <c r="A116" s="5" t="s">
        <v>203</v>
      </c>
      <c r="F116" s="21"/>
      <c r="G116" s="21"/>
      <c r="H116" s="79"/>
      <c r="I116" s="79">
        <v>0.05</v>
      </c>
      <c r="J116" s="79">
        <v>0.05</v>
      </c>
      <c r="K116" s="79">
        <v>0.05</v>
      </c>
    </row>
    <row r="117" spans="1:11" x14ac:dyDescent="0.2">
      <c r="A117" s="5"/>
      <c r="F117" s="21"/>
      <c r="G117" s="21"/>
      <c r="H117" s="21"/>
      <c r="I117" s="21"/>
      <c r="J117" s="21"/>
      <c r="K117" s="21"/>
    </row>
    <row r="118" spans="1:11" x14ac:dyDescent="0.2">
      <c r="A118" s="5" t="s">
        <v>16</v>
      </c>
      <c r="B118" s="5" t="s">
        <v>12</v>
      </c>
      <c r="F118" s="79"/>
      <c r="G118" s="79"/>
      <c r="H118" s="79">
        <v>0.1</v>
      </c>
      <c r="I118" s="79">
        <v>0.1</v>
      </c>
      <c r="J118" s="79">
        <v>0.2</v>
      </c>
      <c r="K118" s="79">
        <v>0.2</v>
      </c>
    </row>
    <row r="119" spans="1:11" s="19" customFormat="1" ht="12" x14ac:dyDescent="0.25">
      <c r="A119" s="182" t="s">
        <v>181</v>
      </c>
      <c r="C119" s="125">
        <f ca="1">+SUM(F119:K119)</f>
        <v>232407.18206870364</v>
      </c>
      <c r="D119" s="125"/>
      <c r="E119" s="183">
        <f>-C109</f>
        <v>-8000000</v>
      </c>
      <c r="F119" s="184">
        <f t="shared" ref="F119:K119" si="25">+-SUM(F107:F107)</f>
        <v>0</v>
      </c>
      <c r="G119" s="184">
        <f t="shared" ca="1" si="25"/>
        <v>0</v>
      </c>
      <c r="H119" s="184">
        <f t="shared" ca="1" si="25"/>
        <v>0</v>
      </c>
      <c r="I119" s="184">
        <f t="shared" ca="1" si="25"/>
        <v>0</v>
      </c>
      <c r="J119" s="184">
        <f t="shared" ca="1" si="25"/>
        <v>97803.987552612307</v>
      </c>
      <c r="K119" s="184">
        <f t="shared" ca="1" si="25"/>
        <v>134603.19451669982</v>
      </c>
    </row>
    <row r="120" spans="1:11" x14ac:dyDescent="0.2">
      <c r="A120" s="5"/>
      <c r="F120" s="21"/>
      <c r="G120" s="21"/>
      <c r="H120" s="21"/>
      <c r="I120" s="21"/>
      <c r="J120" s="21"/>
      <c r="K120" s="21"/>
    </row>
    <row r="121" spans="1:11" ht="12" x14ac:dyDescent="0.25">
      <c r="A121" s="182" t="s">
        <v>204</v>
      </c>
      <c r="E121" s="179">
        <f ca="1">IFERROR(IRR(E119:K119,10%),0)</f>
        <v>-0.46533102426186945</v>
      </c>
      <c r="F121" s="21"/>
      <c r="G121" s="21"/>
      <c r="H121" s="21"/>
      <c r="I121" s="21"/>
      <c r="J121" s="21"/>
      <c r="K121" s="21"/>
    </row>
    <row r="122" spans="1:11" x14ac:dyDescent="0.2">
      <c r="A122" s="5"/>
      <c r="F122" s="21"/>
      <c r="G122" s="21"/>
      <c r="H122" s="21"/>
      <c r="I122" s="21"/>
      <c r="J122" s="21"/>
      <c r="K122" s="21"/>
    </row>
    <row r="124" spans="1:11" x14ac:dyDescent="0.2">
      <c r="A124" s="5" t="s">
        <v>185</v>
      </c>
      <c r="F124" s="181">
        <f t="shared" ref="F124:K124" si="26">F110</f>
        <v>0</v>
      </c>
      <c r="G124" s="181">
        <f t="shared" si="26"/>
        <v>0</v>
      </c>
      <c r="H124" s="181">
        <f t="shared" si="26"/>
        <v>0</v>
      </c>
      <c r="I124" s="181">
        <f t="shared" si="26"/>
        <v>0</v>
      </c>
      <c r="J124" s="181">
        <f t="shared" si="26"/>
        <v>0</v>
      </c>
      <c r="K124" s="181">
        <f t="shared" si="26"/>
        <v>0</v>
      </c>
    </row>
    <row r="126" spans="1:11" x14ac:dyDescent="0.2">
      <c r="A126" s="5"/>
    </row>
  </sheetData>
  <phoneticPr fontId="11" type="noConversion"/>
  <pageMargins left="0.74803149606299213" right="0.74803149606299213" top="0.98425196850393704" bottom="0.98425196850393704" header="0.51181102362204722" footer="0.51181102362204722"/>
  <pageSetup paperSize="9" scale="35"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pageSetUpPr fitToPage="1"/>
  </sheetPr>
  <dimension ref="A1:AH139"/>
  <sheetViews>
    <sheetView showGridLines="0" zoomScale="110" zoomScaleNormal="110" workbookViewId="0">
      <pane xSplit="1" ySplit="6" topLeftCell="B18" activePane="bottomRight" state="frozen"/>
      <selection pane="topRight" activeCell="C1" sqref="C1"/>
      <selection pane="bottomLeft" activeCell="A7" sqref="A7"/>
      <selection pane="bottomRight" activeCell="P88" sqref="P88"/>
    </sheetView>
  </sheetViews>
  <sheetFormatPr defaultRowHeight="11.4" x14ac:dyDescent="0.2"/>
  <cols>
    <col min="1" max="1" width="41.375" customWidth="1"/>
    <col min="2" max="4" width="9" customWidth="1"/>
    <col min="5" max="5" width="19.375" customWidth="1"/>
    <col min="6" max="12" width="15.75" customWidth="1"/>
  </cols>
  <sheetData>
    <row r="1" spans="1:34" ht="15" x14ac:dyDescent="0.25">
      <c r="A1" s="118"/>
      <c r="B1" s="16"/>
      <c r="C1" s="112"/>
      <c r="D1" s="16"/>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15.6" x14ac:dyDescent="0.3">
      <c r="A2" s="119" t="s">
        <v>107</v>
      </c>
      <c r="B2" s="15"/>
      <c r="C2" s="14"/>
      <c r="D2" s="14"/>
      <c r="E2" s="14"/>
      <c r="F2" s="13"/>
      <c r="G2" s="12">
        <v>2021</v>
      </c>
      <c r="H2" s="12">
        <f>+G2+1</f>
        <v>2022</v>
      </c>
      <c r="I2" s="12">
        <f>+H2+1</f>
        <v>2023</v>
      </c>
      <c r="J2" s="12">
        <f>+I2+1</f>
        <v>2024</v>
      </c>
      <c r="K2" s="12">
        <f>+J2+1</f>
        <v>2025</v>
      </c>
      <c r="L2" s="12">
        <f>+K2+1</f>
        <v>2026</v>
      </c>
      <c r="M2" s="11"/>
      <c r="N2" s="11"/>
      <c r="O2" s="11"/>
      <c r="P2" s="11"/>
      <c r="Q2" s="11"/>
      <c r="R2" s="11"/>
      <c r="S2" s="11"/>
      <c r="T2" s="9"/>
      <c r="U2" s="9"/>
      <c r="V2" s="9"/>
      <c r="W2" s="9"/>
      <c r="X2" s="9"/>
      <c r="Y2" s="9"/>
      <c r="Z2" s="9"/>
      <c r="AA2" s="9"/>
      <c r="AB2" s="9"/>
      <c r="AC2" s="9"/>
      <c r="AD2" s="9"/>
      <c r="AE2" s="9"/>
      <c r="AF2" s="9"/>
      <c r="AG2" s="9"/>
      <c r="AH2" s="9"/>
    </row>
    <row r="3" spans="1:34" x14ac:dyDescent="0.2">
      <c r="A3" s="120" t="str">
        <f>+A2</f>
        <v>Computations 1</v>
      </c>
      <c r="F3" s="8"/>
      <c r="G3" s="7"/>
      <c r="H3" s="7"/>
      <c r="I3" s="7"/>
      <c r="J3" s="7"/>
      <c r="K3" s="7"/>
      <c r="L3" s="7"/>
      <c r="M3" s="7"/>
      <c r="N3" s="7"/>
      <c r="O3" s="7"/>
      <c r="P3" s="7"/>
      <c r="Q3" s="7"/>
      <c r="R3" s="7"/>
      <c r="S3" s="7"/>
      <c r="T3" s="9"/>
      <c r="U3" s="9"/>
      <c r="V3" s="9"/>
      <c r="W3" s="9"/>
      <c r="X3" s="9"/>
      <c r="Y3" s="9"/>
      <c r="Z3" s="9"/>
      <c r="AA3" s="9"/>
      <c r="AB3" s="9"/>
      <c r="AC3" s="9"/>
      <c r="AD3" s="9"/>
      <c r="AE3" s="9"/>
      <c r="AF3" s="9"/>
      <c r="AG3" s="9"/>
      <c r="AH3" s="9"/>
    </row>
    <row r="4" spans="1:34" x14ac:dyDescent="0.2">
      <c r="A4" s="121"/>
      <c r="F4" s="8"/>
      <c r="G4" s="7"/>
      <c r="H4" s="7"/>
      <c r="I4" s="7"/>
      <c r="J4" s="7"/>
      <c r="K4" s="7"/>
      <c r="L4" s="7"/>
      <c r="M4" s="7"/>
      <c r="N4" s="7"/>
      <c r="O4" s="7"/>
      <c r="P4" s="7"/>
      <c r="Q4" s="7"/>
      <c r="R4" s="7"/>
      <c r="S4" s="7"/>
    </row>
    <row r="5" spans="1:34" x14ac:dyDescent="0.2">
      <c r="A5" s="122"/>
      <c r="F5" s="8"/>
      <c r="G5" s="10"/>
      <c r="H5" s="10"/>
      <c r="I5" s="10"/>
      <c r="J5" s="10"/>
      <c r="K5" s="10"/>
      <c r="L5" s="10"/>
      <c r="M5" s="10"/>
      <c r="N5" s="10"/>
      <c r="O5" s="10"/>
      <c r="P5" s="10"/>
      <c r="Q5" s="10"/>
      <c r="R5" s="10"/>
      <c r="S5" s="10"/>
    </row>
    <row r="6" spans="1:34" x14ac:dyDescent="0.2">
      <c r="A6" s="123" t="s">
        <v>351</v>
      </c>
      <c r="F6" s="8"/>
      <c r="G6" s="10"/>
      <c r="H6" s="10"/>
      <c r="I6" s="10"/>
      <c r="J6" s="10"/>
      <c r="K6" s="10"/>
      <c r="L6" s="10"/>
      <c r="M6" s="10"/>
      <c r="N6" s="10"/>
      <c r="O6" s="10"/>
      <c r="P6" s="10"/>
      <c r="Q6" s="10"/>
      <c r="R6" s="10"/>
      <c r="S6" s="10"/>
      <c r="T6" s="9"/>
      <c r="U6" s="9"/>
      <c r="V6" s="9"/>
      <c r="W6" s="9"/>
      <c r="X6" s="9"/>
      <c r="Y6" s="9"/>
      <c r="Z6" s="9"/>
      <c r="AA6" s="9"/>
      <c r="AB6" s="9"/>
      <c r="AC6" s="9"/>
      <c r="AD6" s="9"/>
      <c r="AE6" s="9"/>
      <c r="AF6" s="9"/>
      <c r="AG6" s="9"/>
      <c r="AH6" s="9"/>
    </row>
    <row r="7" spans="1:34" x14ac:dyDescent="0.2">
      <c r="A7" s="123" t="s">
        <v>350</v>
      </c>
      <c r="F7" s="8"/>
      <c r="G7" s="7"/>
      <c r="H7" s="7"/>
      <c r="I7" s="7"/>
      <c r="J7" s="7"/>
      <c r="K7" s="7"/>
      <c r="L7" s="7"/>
      <c r="M7" s="7"/>
      <c r="N7" s="7"/>
      <c r="O7" s="7"/>
      <c r="P7" s="7"/>
      <c r="Q7" s="7"/>
      <c r="R7" s="7"/>
      <c r="S7" s="7"/>
      <c r="T7" s="9"/>
      <c r="U7" s="9"/>
      <c r="V7" s="9"/>
      <c r="W7" s="9"/>
      <c r="X7" s="9"/>
      <c r="Y7" s="9"/>
      <c r="Z7" s="9"/>
      <c r="AA7" s="9"/>
      <c r="AB7" s="9"/>
      <c r="AC7" s="9"/>
      <c r="AD7" s="9"/>
      <c r="AE7" s="9"/>
      <c r="AF7" s="9"/>
      <c r="AG7" s="9"/>
      <c r="AH7" s="9"/>
    </row>
    <row r="8" spans="1:34" x14ac:dyDescent="0.2">
      <c r="F8" s="8"/>
      <c r="G8" s="7"/>
      <c r="H8" s="7"/>
      <c r="I8" s="7"/>
      <c r="J8" s="7"/>
      <c r="K8" s="7"/>
      <c r="L8" s="7"/>
      <c r="M8" s="7"/>
      <c r="N8" s="7"/>
      <c r="O8" s="7"/>
      <c r="P8" s="7"/>
      <c r="Q8" s="7"/>
      <c r="R8" s="7"/>
      <c r="S8" s="7"/>
      <c r="T8" s="9"/>
      <c r="U8" s="9"/>
      <c r="V8" s="9"/>
      <c r="W8" s="9"/>
      <c r="X8" s="9"/>
      <c r="Y8" s="9"/>
      <c r="Z8" s="9"/>
      <c r="AA8" s="9"/>
      <c r="AB8" s="9"/>
      <c r="AC8" s="9"/>
      <c r="AD8" s="9"/>
      <c r="AE8" s="9"/>
      <c r="AF8" s="9"/>
      <c r="AG8" s="9"/>
      <c r="AH8" s="9"/>
    </row>
    <row r="10" spans="1:34" s="117" customFormat="1" ht="15" x14ac:dyDescent="0.2">
      <c r="A10" s="116" t="s">
        <v>106</v>
      </c>
    </row>
    <row r="12" spans="1:34" ht="12" x14ac:dyDescent="0.25">
      <c r="D12" s="1" t="s">
        <v>30</v>
      </c>
    </row>
    <row r="13" spans="1:34" s="19" customFormat="1" ht="12" x14ac:dyDescent="0.25">
      <c r="A13" s="19" t="s">
        <v>53</v>
      </c>
      <c r="B13" s="19" t="s">
        <v>73</v>
      </c>
      <c r="D13" s="95">
        <v>0.22</v>
      </c>
      <c r="G13" s="208">
        <f>'1.Revenues and Costs of Sales'!C35</f>
        <v>12366.66666666667</v>
      </c>
      <c r="H13" s="208">
        <f>'1.Revenues and Costs of Sales'!D35</f>
        <v>317367.64520382707</v>
      </c>
      <c r="I13" s="208">
        <f>'1.Revenues and Costs of Sales'!E35</f>
        <v>1655276.6144242198</v>
      </c>
      <c r="J13" s="208">
        <f>'1.Revenues and Costs of Sales'!F35</f>
        <v>3780285.0118999979</v>
      </c>
      <c r="K13" s="208">
        <f>'1.Revenues and Costs of Sales'!G35</f>
        <v>5712832.9752178695</v>
      </c>
      <c r="L13" s="208">
        <f>'1.Revenues and Costs of Sales'!H35</f>
        <v>7880964.8924947865</v>
      </c>
    </row>
    <row r="15" spans="1:34" s="117" customFormat="1" ht="15" x14ac:dyDescent="0.2">
      <c r="A15" s="116" t="s">
        <v>11</v>
      </c>
    </row>
    <row r="17" spans="1:14" x14ac:dyDescent="0.2">
      <c r="G17" s="17"/>
      <c r="H17" s="17"/>
      <c r="I17" s="17"/>
      <c r="J17" s="17"/>
      <c r="K17" s="17"/>
      <c r="L17" s="17"/>
    </row>
    <row r="18" spans="1:14" s="19" customFormat="1" ht="12" x14ac:dyDescent="0.25">
      <c r="A18" s="19" t="s">
        <v>57</v>
      </c>
      <c r="D18" s="95">
        <v>0.22</v>
      </c>
      <c r="G18" s="209">
        <f t="shared" ref="G18:L18" si="0">SUM(F19:G21)</f>
        <v>1120000</v>
      </c>
      <c r="H18" s="209">
        <f t="shared" si="0"/>
        <v>2266426.9420616184</v>
      </c>
      <c r="I18" s="209">
        <f t="shared" si="0"/>
        <v>2341592.5081712799</v>
      </c>
      <c r="J18" s="209">
        <f t="shared" si="0"/>
        <v>2427515.7316196617</v>
      </c>
      <c r="K18" s="209">
        <f t="shared" si="0"/>
        <v>2487169.0434359885</v>
      </c>
      <c r="L18" s="209">
        <f t="shared" si="0"/>
        <v>2521939.8939734786</v>
      </c>
    </row>
    <row r="19" spans="1:14" x14ac:dyDescent="0.2">
      <c r="A19" s="25" t="s">
        <v>54</v>
      </c>
      <c r="G19" s="210">
        <f>'1.Revenues and Costs of Sales'!C48</f>
        <v>100000</v>
      </c>
      <c r="H19" s="210">
        <f>'1.Revenues and Costs of Sales'!D48</f>
        <v>200742.62128407112</v>
      </c>
      <c r="I19" s="210">
        <f>'1.Revenues and Costs of Sales'!E48</f>
        <v>284419.51155743492</v>
      </c>
      <c r="J19" s="210">
        <f>'1.Revenues and Costs of Sales'!F48</f>
        <v>338547.24498859665</v>
      </c>
      <c r="K19" s="210">
        <f>'1.Revenues and Costs of Sales'!G48</f>
        <v>369359.46528622322</v>
      </c>
      <c r="L19" s="210">
        <f>'1.Revenues and Costs of Sales'!H48</f>
        <v>385801.76241585665</v>
      </c>
    </row>
    <row r="20" spans="1:14" x14ac:dyDescent="0.2">
      <c r="A20" s="25" t="s">
        <v>59</v>
      </c>
      <c r="G20" s="210">
        <f>'1.Revenues and Costs of Sales'!C50</f>
        <v>120000</v>
      </c>
      <c r="H20" s="210">
        <f>'1.Revenues and Costs of Sales'!D50</f>
        <v>104613.57464497616</v>
      </c>
      <c r="I20" s="210">
        <f>'1.Revenues and Costs of Sales'!E50</f>
        <v>97676.803836027655</v>
      </c>
      <c r="J20" s="210">
        <f>'1.Revenues and Costs of Sales'!F50</f>
        <v>94382.861314148147</v>
      </c>
      <c r="K20" s="210">
        <f>'1.Revenues and Costs of Sales'!G50</f>
        <v>92777.782641375466</v>
      </c>
      <c r="L20" s="210">
        <f>'1.Revenues and Costs of Sales'!H50</f>
        <v>91985.508515708294</v>
      </c>
    </row>
    <row r="21" spans="1:14" x14ac:dyDescent="0.2">
      <c r="A21" s="25" t="s">
        <v>56</v>
      </c>
      <c r="G21" s="210">
        <f>'1.Revenues and Costs of Sales'!C51</f>
        <v>900000</v>
      </c>
      <c r="H21" s="210">
        <f>'1.Revenues and Costs of Sales'!D51</f>
        <v>841070.74613257113</v>
      </c>
      <c r="I21" s="210">
        <f>'1.Revenues and Costs of Sales'!E51</f>
        <v>813069.25071619882</v>
      </c>
      <c r="J21" s="210">
        <f>'1.Revenues and Costs of Sales'!F51</f>
        <v>799420.05920725572</v>
      </c>
      <c r="K21" s="210">
        <f>'1.Revenues and Costs of Sales'!G51</f>
        <v>792681.62999838905</v>
      </c>
      <c r="L21" s="210">
        <f>'1.Revenues and Costs of Sales'!H51</f>
        <v>789333.74511592614</v>
      </c>
    </row>
    <row r="22" spans="1:14" x14ac:dyDescent="0.2">
      <c r="G22" s="17"/>
      <c r="H22" s="17"/>
      <c r="I22" s="17"/>
      <c r="J22" s="17"/>
      <c r="K22" s="17"/>
      <c r="L22" s="17"/>
    </row>
    <row r="23" spans="1:14" s="19" customFormat="1" ht="12" x14ac:dyDescent="0.25">
      <c r="A23" s="19" t="s">
        <v>108</v>
      </c>
      <c r="G23" s="136">
        <f t="shared" ref="G23:L23" si="1">SUM(G24:G26)</f>
        <v>30000</v>
      </c>
      <c r="H23" s="94">
        <f t="shared" si="1"/>
        <v>510000</v>
      </c>
      <c r="I23" s="94">
        <f t="shared" si="1"/>
        <v>651432.06340393028</v>
      </c>
      <c r="J23" s="94">
        <f t="shared" si="1"/>
        <v>1106454.3206916738</v>
      </c>
      <c r="K23" s="94">
        <f t="shared" si="1"/>
        <v>1921587.2768853665</v>
      </c>
      <c r="L23" s="94">
        <f t="shared" si="1"/>
        <v>3603623.4761496386</v>
      </c>
      <c r="N23" s="90"/>
    </row>
    <row r="24" spans="1:14" x14ac:dyDescent="0.2">
      <c r="A24" s="50" t="s">
        <v>109</v>
      </c>
      <c r="G24" s="210">
        <f>'4.Personnel'!C79</f>
        <v>20229.265003371544</v>
      </c>
      <c r="H24" s="210">
        <f>'4.Personnel'!D79</f>
        <v>343897.50505731622</v>
      </c>
      <c r="I24" s="210">
        <f>'4.Personnel'!E79</f>
        <v>439266.39474304125</v>
      </c>
      <c r="J24" s="210">
        <f>'4.Personnel'!F79</f>
        <v>746091.92224657699</v>
      </c>
      <c r="K24" s="210">
        <f>'4.Personnel'!G79</f>
        <v>1295743.2750407057</v>
      </c>
      <c r="L24" s="210">
        <f>'4.Personnel'!H79</f>
        <v>2429955.1423800667</v>
      </c>
    </row>
    <row r="25" spans="1:14" x14ac:dyDescent="0.2">
      <c r="A25" s="50" t="s">
        <v>110</v>
      </c>
      <c r="G25" s="210">
        <f>'4.Personnel'!C80</f>
        <v>1498.4640743238181</v>
      </c>
      <c r="H25" s="210">
        <f>'4.Personnel'!D80</f>
        <v>25473.889263504905</v>
      </c>
      <c r="I25" s="210">
        <f>'4.Personnel'!E80</f>
        <v>32538.251462447504</v>
      </c>
      <c r="J25" s="210">
        <f>'4.Personnel'!F80</f>
        <v>55266.068314561249</v>
      </c>
      <c r="K25" s="210">
        <f>'4.Personnel'!G80</f>
        <v>95980.983336348581</v>
      </c>
      <c r="L25" s="210">
        <f>'4.Personnel'!H80</f>
        <v>179996.67721333829</v>
      </c>
    </row>
    <row r="26" spans="1:14" x14ac:dyDescent="0.2">
      <c r="A26" s="50" t="s">
        <v>92</v>
      </c>
      <c r="G26" s="210">
        <f>'4.Personnel'!C81</f>
        <v>8272.2709223046386</v>
      </c>
      <c r="H26" s="210">
        <f>'4.Personnel'!D81</f>
        <v>140628.60567917887</v>
      </c>
      <c r="I26" s="210">
        <f>'4.Personnel'!E81</f>
        <v>179627.41719844149</v>
      </c>
      <c r="J26" s="210">
        <f>'4.Personnel'!F81</f>
        <v>305096.33013053547</v>
      </c>
      <c r="K26" s="210">
        <f>'4.Personnel'!G81</f>
        <v>529863.01850831241</v>
      </c>
      <c r="L26" s="210">
        <f>'4.Personnel'!H81</f>
        <v>993671.65655623388</v>
      </c>
    </row>
    <row r="27" spans="1:14" x14ac:dyDescent="0.2">
      <c r="G27" s="21"/>
      <c r="H27" s="34"/>
      <c r="I27" s="34"/>
      <c r="J27" s="34"/>
      <c r="K27" s="34"/>
      <c r="L27" s="34"/>
    </row>
    <row r="28" spans="1:14" ht="12" x14ac:dyDescent="0.25">
      <c r="A28" s="19" t="s">
        <v>60</v>
      </c>
      <c r="B28" s="56"/>
      <c r="C28" s="292"/>
      <c r="D28" s="293"/>
      <c r="E28" s="293"/>
      <c r="F28" s="293"/>
      <c r="G28" s="57"/>
      <c r="H28" s="57"/>
      <c r="I28" s="57"/>
      <c r="J28" s="57"/>
      <c r="K28" s="57"/>
    </row>
    <row r="29" spans="1:14" ht="12" x14ac:dyDescent="0.25">
      <c r="A29" s="19"/>
      <c r="B29" s="56"/>
      <c r="C29" s="103"/>
      <c r="D29" s="102"/>
      <c r="E29" s="102"/>
      <c r="F29" s="102"/>
      <c r="G29" s="57"/>
      <c r="H29" s="57"/>
      <c r="I29" s="57"/>
      <c r="J29" s="57"/>
      <c r="K29" s="57"/>
    </row>
    <row r="30" spans="1:14" ht="12" x14ac:dyDescent="0.25">
      <c r="A30" s="19" t="s">
        <v>111</v>
      </c>
      <c r="B30" s="56"/>
      <c r="C30" s="103"/>
      <c r="D30" s="1" t="s">
        <v>30</v>
      </c>
      <c r="E30" s="102"/>
      <c r="F30" s="102"/>
      <c r="G30" s="107">
        <f t="shared" ref="G30:L30" si="2">SUM(G32:G41)-G37</f>
        <v>23000</v>
      </c>
      <c r="H30" s="107">
        <f t="shared" si="2"/>
        <v>34515.774839171805</v>
      </c>
      <c r="I30" s="107">
        <f t="shared" si="2"/>
        <v>143843.5377934647</v>
      </c>
      <c r="J30" s="107">
        <f t="shared" si="2"/>
        <v>328506.76753410976</v>
      </c>
      <c r="K30" s="107">
        <f t="shared" si="2"/>
        <v>382188.52604207542</v>
      </c>
      <c r="L30" s="107">
        <f t="shared" si="2"/>
        <v>527236.55130790116</v>
      </c>
    </row>
    <row r="31" spans="1:14" ht="12" x14ac:dyDescent="0.25">
      <c r="A31" s="19"/>
      <c r="B31" s="56"/>
      <c r="C31" s="103"/>
      <c r="D31" s="102"/>
      <c r="E31" s="102"/>
      <c r="F31" s="102"/>
      <c r="G31" s="57"/>
      <c r="H31" s="57"/>
      <c r="I31" s="57"/>
      <c r="J31" s="57"/>
      <c r="K31" s="57"/>
    </row>
    <row r="32" spans="1:14" ht="12" x14ac:dyDescent="0.25">
      <c r="A32" s="50" t="s">
        <v>62</v>
      </c>
      <c r="D32" s="95">
        <v>0</v>
      </c>
      <c r="G32" s="210">
        <f>'3.Annual Costs'!B6</f>
        <v>0</v>
      </c>
      <c r="H32" s="210">
        <f>'3.Annual Costs'!C6</f>
        <v>7000</v>
      </c>
      <c r="I32" s="210">
        <f>'3.Annual Costs'!D6</f>
        <v>0</v>
      </c>
      <c r="J32" s="210">
        <f>'3.Annual Costs'!E6</f>
        <v>0</v>
      </c>
      <c r="K32" s="210">
        <f>'3.Annual Costs'!F6</f>
        <v>0</v>
      </c>
      <c r="L32" s="210">
        <f>'3.Annual Costs'!G6</f>
        <v>0</v>
      </c>
    </row>
    <row r="33" spans="1:12" ht="12" x14ac:dyDescent="0.25">
      <c r="A33" s="50" t="s">
        <v>63</v>
      </c>
      <c r="D33" s="95">
        <v>0.22</v>
      </c>
      <c r="E33" s="18"/>
      <c r="G33" s="210">
        <f>'3.Annual Costs'!B7</f>
        <v>0</v>
      </c>
      <c r="H33" s="210">
        <f>'3.Annual Costs'!C7</f>
        <v>0</v>
      </c>
      <c r="I33" s="210">
        <f>'3.Annual Costs'!D7</f>
        <v>165.52766144242199</v>
      </c>
      <c r="J33" s="210">
        <f>'3.Annual Costs'!E7</f>
        <v>378.02850118999982</v>
      </c>
      <c r="K33" s="210">
        <f>'3.Annual Costs'!F7</f>
        <v>571.28329752178695</v>
      </c>
      <c r="L33" s="210">
        <f>'3.Annual Costs'!G7</f>
        <v>788.09648924947874</v>
      </c>
    </row>
    <row r="34" spans="1:12" ht="12" x14ac:dyDescent="0.25">
      <c r="A34" s="50" t="s">
        <v>78</v>
      </c>
      <c r="D34" s="95">
        <v>0.22</v>
      </c>
      <c r="E34" s="18"/>
      <c r="G34" s="210">
        <f>'3.Annual Costs'!B8</f>
        <v>0</v>
      </c>
      <c r="H34" s="210">
        <f>'3.Annual Costs'!C8</f>
        <v>8791.0837721460102</v>
      </c>
      <c r="I34" s="210">
        <f>'3.Annual Costs'!D8</f>
        <v>45851.16221955089</v>
      </c>
      <c r="J34" s="210">
        <f>'3.Annual Costs'!E8</f>
        <v>104713.89482962993</v>
      </c>
      <c r="K34" s="210">
        <f>'3.Annual Costs'!F8</f>
        <v>158245.47341353499</v>
      </c>
      <c r="L34" s="210">
        <f>'3.Annual Costs'!G8</f>
        <v>218302.72752210559</v>
      </c>
    </row>
    <row r="35" spans="1:12" ht="12" x14ac:dyDescent="0.25">
      <c r="A35" s="50" t="s">
        <v>64</v>
      </c>
      <c r="D35" s="95">
        <v>0.22</v>
      </c>
      <c r="E35" s="18"/>
      <c r="G35" s="210">
        <f>'3.Annual Costs'!B9</f>
        <v>0</v>
      </c>
      <c r="H35" s="210">
        <f>'3.Annual Costs'!C9</f>
        <v>0</v>
      </c>
      <c r="I35" s="210">
        <f>'3.Annual Costs'!D9</f>
        <v>165.52766144242199</v>
      </c>
      <c r="J35" s="210">
        <f>'3.Annual Costs'!E9</f>
        <v>378.02850118999982</v>
      </c>
      <c r="K35" s="210">
        <f>'3.Annual Costs'!F9</f>
        <v>571.28329752178695</v>
      </c>
      <c r="L35" s="210">
        <f>'3.Annual Costs'!G9</f>
        <v>788.09648924947874</v>
      </c>
    </row>
    <row r="36" spans="1:12" ht="12" x14ac:dyDescent="0.25">
      <c r="A36" s="50" t="s">
        <v>65</v>
      </c>
      <c r="D36" s="95">
        <v>0</v>
      </c>
      <c r="E36" s="18"/>
      <c r="G36" s="210">
        <f>'3.Annual Costs'!B10</f>
        <v>3000</v>
      </c>
      <c r="H36" s="210">
        <f>'3.Annual Costs'!C10</f>
        <v>317.36764520382707</v>
      </c>
      <c r="I36" s="210">
        <f>'3.Annual Costs'!D10</f>
        <v>1655.2766144242198</v>
      </c>
      <c r="J36" s="210">
        <f>'3.Annual Costs'!E10</f>
        <v>3780.2850118999982</v>
      </c>
      <c r="K36" s="210">
        <f>'3.Annual Costs'!F10</f>
        <v>5712.8329752178697</v>
      </c>
      <c r="L36" s="210">
        <f>'3.Annual Costs'!G10</f>
        <v>7880.9648924947869</v>
      </c>
    </row>
    <row r="37" spans="1:12" ht="12" x14ac:dyDescent="0.25">
      <c r="A37" s="50" t="s">
        <v>66</v>
      </c>
      <c r="D37" s="95">
        <v>0.22</v>
      </c>
      <c r="E37" s="18"/>
      <c r="G37" s="210">
        <f>'3.Annual Costs'!B11</f>
        <v>0</v>
      </c>
      <c r="H37" s="210">
        <f>'3.Annual Costs'!C11</f>
        <v>317.36764520382707</v>
      </c>
      <c r="I37" s="210">
        <f>'3.Annual Costs'!D11</f>
        <v>1655.2766144242198</v>
      </c>
      <c r="J37" s="210">
        <f>'3.Annual Costs'!E11</f>
        <v>3780.2850118999982</v>
      </c>
      <c r="K37" s="210">
        <f>'3.Annual Costs'!F11</f>
        <v>5712.8329752178697</v>
      </c>
      <c r="L37" s="210">
        <f>'3.Annual Costs'!G11</f>
        <v>7880.9648924947869</v>
      </c>
    </row>
    <row r="38" spans="1:12" ht="12" x14ac:dyDescent="0.25">
      <c r="A38" s="50" t="s">
        <v>67</v>
      </c>
      <c r="D38" s="95">
        <v>0.22</v>
      </c>
      <c r="E38" s="18"/>
      <c r="G38" s="210">
        <f>'3.Annual Costs'!B12</f>
        <v>0</v>
      </c>
      <c r="H38" s="210">
        <f>'3.Annual Costs'!C12</f>
        <v>1586.8382260191354</v>
      </c>
      <c r="I38" s="210">
        <f>'3.Annual Costs'!D12</f>
        <v>8276.3830721210998</v>
      </c>
      <c r="J38" s="210">
        <f>'3.Annual Costs'!E12</f>
        <v>18901.42505949999</v>
      </c>
      <c r="K38" s="210">
        <f>'3.Annual Costs'!F12</f>
        <v>28564.164876089348</v>
      </c>
      <c r="L38" s="210">
        <f>'3.Annual Costs'!G12</f>
        <v>39404.824462473931</v>
      </c>
    </row>
    <row r="39" spans="1:12" ht="12" x14ac:dyDescent="0.25">
      <c r="A39" s="50" t="s">
        <v>74</v>
      </c>
      <c r="D39" s="95">
        <v>0.22</v>
      </c>
      <c r="E39" s="18"/>
      <c r="G39" s="210">
        <f>'3.Annual Costs'!B13</f>
        <v>15000</v>
      </c>
      <c r="H39" s="210">
        <f>'3.Annual Costs'!C13</f>
        <v>3173.6764520382708</v>
      </c>
      <c r="I39" s="210">
        <f>'3.Annual Costs'!D13</f>
        <v>16552.7661442422</v>
      </c>
      <c r="J39" s="210">
        <f>'3.Annual Costs'!E13</f>
        <v>37802.850118999981</v>
      </c>
      <c r="K39" s="210">
        <f>'3.Annual Costs'!F13</f>
        <v>57128.329752178695</v>
      </c>
      <c r="L39" s="210">
        <f>'3.Annual Costs'!G13</f>
        <v>78809.648924947862</v>
      </c>
    </row>
    <row r="40" spans="1:12" ht="12" x14ac:dyDescent="0.25">
      <c r="A40" s="50" t="s">
        <v>75</v>
      </c>
      <c r="D40" s="95">
        <v>0.22</v>
      </c>
      <c r="E40" s="18"/>
      <c r="G40" s="210">
        <f>'3.Annual Costs'!B14</f>
        <v>0</v>
      </c>
      <c r="H40" s="210">
        <f>'3.Annual Costs'!C14</f>
        <v>7299.455839688022</v>
      </c>
      <c r="I40" s="210">
        <f>'3.Annual Costs'!D14</f>
        <v>38071.362131757058</v>
      </c>
      <c r="J40" s="210">
        <f>'3.Annual Costs'!E14</f>
        <v>86946.555273699953</v>
      </c>
      <c r="K40" s="210">
        <f>'3.Annual Costs'!F14</f>
        <v>131395.15843001098</v>
      </c>
      <c r="L40" s="210">
        <f>'3.Annual Costs'!G14</f>
        <v>181262.19252738007</v>
      </c>
    </row>
    <row r="41" spans="1:12" ht="12" x14ac:dyDescent="0.25">
      <c r="A41" s="50" t="s">
        <v>76</v>
      </c>
      <c r="D41" s="95">
        <v>0.22</v>
      </c>
      <c r="E41" s="18"/>
      <c r="G41" s="210">
        <f>'3.Annual Costs'!B15</f>
        <v>5000</v>
      </c>
      <c r="H41" s="210">
        <f>'3.Annual Costs'!C15</f>
        <v>6347.3529040765416</v>
      </c>
      <c r="I41" s="210">
        <f>'3.Annual Costs'!D15</f>
        <v>33105.532288484399</v>
      </c>
      <c r="J41" s="210">
        <f>'3.Annual Costs'!E15</f>
        <v>75605.700237999961</v>
      </c>
      <c r="K41" s="210">
        <f>'3.Annual Costs'!F15</f>
        <v>0</v>
      </c>
      <c r="L41" s="210">
        <f>'3.Annual Costs'!G15</f>
        <v>0</v>
      </c>
    </row>
    <row r="42" spans="1:12" x14ac:dyDescent="0.2">
      <c r="A42" s="106"/>
      <c r="G42" s="98"/>
      <c r="H42" s="98"/>
      <c r="I42" s="98"/>
      <c r="J42" s="98"/>
      <c r="K42" s="98"/>
      <c r="L42" s="98"/>
    </row>
    <row r="43" spans="1:12" x14ac:dyDescent="0.2">
      <c r="A43" s="49"/>
    </row>
    <row r="44" spans="1:12" s="117" customFormat="1" ht="15" x14ac:dyDescent="0.2">
      <c r="A44" s="116" t="s">
        <v>13</v>
      </c>
    </row>
    <row r="46" spans="1:12" ht="12" x14ac:dyDescent="0.25">
      <c r="A46" s="19" t="s">
        <v>113</v>
      </c>
    </row>
    <row r="47" spans="1:12" x14ac:dyDescent="0.2">
      <c r="G47" s="55"/>
      <c r="H47" s="55"/>
      <c r="I47" s="55"/>
      <c r="J47" s="55"/>
      <c r="K47" s="55"/>
      <c r="L47" s="55"/>
    </row>
    <row r="48" spans="1:12" x14ac:dyDescent="0.2">
      <c r="A48" s="53" t="s">
        <v>81</v>
      </c>
      <c r="G48" s="55">
        <f t="shared" ref="G48:L49" si="3">G55+G66</f>
        <v>245247.33333333334</v>
      </c>
      <c r="H48" s="55">
        <f t="shared" si="3"/>
        <v>29521.029356114814</v>
      </c>
      <c r="I48" s="55">
        <f t="shared" ca="1" si="3"/>
        <v>274636.34886070888</v>
      </c>
      <c r="J48" s="55">
        <f t="shared" si="3"/>
        <v>133408.55035699994</v>
      </c>
      <c r="K48" s="55">
        <f t="shared" si="3"/>
        <v>6191384.9892565357</v>
      </c>
      <c r="L48" s="55">
        <f t="shared" si="3"/>
        <v>256428.94677484359</v>
      </c>
    </row>
    <row r="49" spans="1:13" x14ac:dyDescent="0.2">
      <c r="A49" s="53" t="s">
        <v>114</v>
      </c>
      <c r="G49" s="57">
        <f t="shared" si="3"/>
        <v>-49049.466666666667</v>
      </c>
      <c r="H49" s="57">
        <f t="shared" si="3"/>
        <v>-54854.739204556296</v>
      </c>
      <c r="I49" s="57">
        <f t="shared" ca="1" si="3"/>
        <v>-90374.725524787253</v>
      </c>
      <c r="J49" s="57">
        <f t="shared" ca="1" si="3"/>
        <v>-100902.59463220919</v>
      </c>
      <c r="K49" s="57">
        <f t="shared" ca="1" si="3"/>
        <v>-1289970.0133046943</v>
      </c>
      <c r="L49" s="57">
        <f t="shared" ca="1" si="3"/>
        <v>-1252911.3861358706</v>
      </c>
    </row>
    <row r="50" spans="1:13" s="19" customFormat="1" ht="12" x14ac:dyDescent="0.25">
      <c r="A50" s="81" t="s">
        <v>113</v>
      </c>
      <c r="B50" s="81"/>
      <c r="C50" s="81"/>
      <c r="D50" s="81"/>
      <c r="E50" s="81"/>
      <c r="F50" s="81"/>
      <c r="G50" s="89">
        <f t="shared" ref="G50:L50" si="4">G48+G49+F50</f>
        <v>196197.86666666667</v>
      </c>
      <c r="H50" s="89">
        <f t="shared" si="4"/>
        <v>170864.15681822519</v>
      </c>
      <c r="I50" s="89">
        <f t="shared" ca="1" si="4"/>
        <v>355125.78015414684</v>
      </c>
      <c r="J50" s="89">
        <f t="shared" ca="1" si="4"/>
        <v>387631.73587893759</v>
      </c>
      <c r="K50" s="89">
        <f t="shared" ca="1" si="4"/>
        <v>5289046.711830779</v>
      </c>
      <c r="L50" s="89">
        <f t="shared" ca="1" si="4"/>
        <v>4292564.2724697515</v>
      </c>
    </row>
    <row r="53" spans="1:13" ht="12" x14ac:dyDescent="0.25">
      <c r="A53" s="19" t="s">
        <v>168</v>
      </c>
    </row>
    <row r="54" spans="1:13" x14ac:dyDescent="0.2">
      <c r="G54" s="55"/>
      <c r="H54" s="55"/>
      <c r="I54" s="55"/>
      <c r="J54" s="55"/>
      <c r="K54" s="55"/>
      <c r="L54" s="55"/>
    </row>
    <row r="55" spans="1:13" x14ac:dyDescent="0.2">
      <c r="A55" s="53" t="s">
        <v>81</v>
      </c>
      <c r="G55" s="55">
        <f t="shared" ref="G55:L56" si="5">G59+G61</f>
        <v>0</v>
      </c>
      <c r="H55" s="55">
        <f t="shared" si="5"/>
        <v>20000</v>
      </c>
      <c r="I55" s="55">
        <f t="shared" ca="1" si="5"/>
        <v>174978.05042690481</v>
      </c>
      <c r="J55" s="55">
        <f t="shared" si="5"/>
        <v>20000</v>
      </c>
      <c r="K55" s="55">
        <f t="shared" si="5"/>
        <v>20000</v>
      </c>
      <c r="L55" s="55">
        <f t="shared" si="5"/>
        <v>20000</v>
      </c>
    </row>
    <row r="56" spans="1:13" x14ac:dyDescent="0.2">
      <c r="A56" s="53" t="s">
        <v>114</v>
      </c>
      <c r="G56" s="57">
        <f t="shared" si="5"/>
        <v>0</v>
      </c>
      <c r="H56" s="57">
        <f t="shared" si="5"/>
        <v>-4000</v>
      </c>
      <c r="I56" s="57">
        <f t="shared" ca="1" si="5"/>
        <v>-23297.805042690481</v>
      </c>
      <c r="J56" s="57">
        <f t="shared" ca="1" si="5"/>
        <v>-27297.805042690481</v>
      </c>
      <c r="K56" s="57">
        <f t="shared" ca="1" si="5"/>
        <v>-31297.805042690481</v>
      </c>
      <c r="L56" s="57">
        <f t="shared" ca="1" si="5"/>
        <v>-35297.805042690481</v>
      </c>
    </row>
    <row r="57" spans="1:13" s="19" customFormat="1" ht="12" x14ac:dyDescent="0.25">
      <c r="A57" s="81" t="s">
        <v>168</v>
      </c>
      <c r="B57" s="81"/>
      <c r="C57" s="81"/>
      <c r="D57" s="81"/>
      <c r="E57" s="81"/>
      <c r="F57" s="81"/>
      <c r="G57" s="89">
        <f t="shared" ref="G57:L57" si="6">G55+G56+F57</f>
        <v>0</v>
      </c>
      <c r="H57" s="89">
        <f t="shared" si="6"/>
        <v>16000</v>
      </c>
      <c r="I57" s="89">
        <f t="shared" ca="1" si="6"/>
        <v>167680.24538421433</v>
      </c>
      <c r="J57" s="89">
        <f t="shared" ca="1" si="6"/>
        <v>160382.44034152385</v>
      </c>
      <c r="K57" s="89">
        <f t="shared" ca="1" si="6"/>
        <v>149084.63529883337</v>
      </c>
      <c r="L57" s="89">
        <f t="shared" ca="1" si="6"/>
        <v>133786.83025614289</v>
      </c>
    </row>
    <row r="58" spans="1:13" ht="12" x14ac:dyDescent="0.25">
      <c r="B58" s="19" t="s">
        <v>29</v>
      </c>
      <c r="D58" s="1" t="s">
        <v>30</v>
      </c>
      <c r="G58" s="55"/>
      <c r="H58" s="55"/>
      <c r="I58" s="55"/>
      <c r="J58" s="55"/>
      <c r="K58" s="55"/>
      <c r="L58" s="55"/>
    </row>
    <row r="59" spans="1:13" x14ac:dyDescent="0.2">
      <c r="A59" s="105" t="s">
        <v>116</v>
      </c>
      <c r="G59" s="21">
        <f>'5.Investments'!B6</f>
        <v>0</v>
      </c>
      <c r="H59" s="21">
        <f>'5.Investments'!C6</f>
        <v>0</v>
      </c>
      <c r="I59" s="21">
        <f ca="1">'5.Investments'!D6</f>
        <v>156978.05043786034</v>
      </c>
      <c r="J59" s="21">
        <f>'5.Investments'!E6</f>
        <v>0</v>
      </c>
      <c r="K59" s="21">
        <f>'5.Investments'!F6</f>
        <v>0</v>
      </c>
      <c r="L59" s="21">
        <f>'5.Investments'!G6</f>
        <v>0</v>
      </c>
    </row>
    <row r="60" spans="1:13" ht="12" x14ac:dyDescent="0.25">
      <c r="A60" s="110" t="s">
        <v>114</v>
      </c>
      <c r="B60" s="95">
        <v>0.1</v>
      </c>
      <c r="C60" s="108"/>
      <c r="D60" s="95">
        <v>0.22</v>
      </c>
      <c r="G60" s="80">
        <f t="shared" ref="G60:L60" si="7">-IF(G59=0,-F60,(G59*$B60)+F60)</f>
        <v>0</v>
      </c>
      <c r="H60" s="80">
        <f t="shared" si="7"/>
        <v>0</v>
      </c>
      <c r="I60" s="80">
        <f t="shared" ca="1" si="7"/>
        <v>-15697.805043786035</v>
      </c>
      <c r="J60" s="80">
        <f t="shared" ca="1" si="7"/>
        <v>-15697.805043786035</v>
      </c>
      <c r="K60" s="80">
        <f t="shared" ca="1" si="7"/>
        <v>-15697.805043786035</v>
      </c>
      <c r="L60" s="80">
        <f t="shared" ca="1" si="7"/>
        <v>-15697.805043786035</v>
      </c>
      <c r="M60" s="80"/>
    </row>
    <row r="61" spans="1:13" x14ac:dyDescent="0.2">
      <c r="A61" s="105" t="str">
        <f>'5.Investments'!A10</f>
        <v>Furniture and office material</v>
      </c>
      <c r="B61" s="99"/>
      <c r="C61" s="109"/>
      <c r="D61" s="99"/>
      <c r="G61" s="51">
        <f>'5.Investments'!B10</f>
        <v>0</v>
      </c>
      <c r="H61" s="51">
        <f>'5.Investments'!C10</f>
        <v>20000</v>
      </c>
      <c r="I61" s="51">
        <f>'5.Investments'!D10</f>
        <v>18000</v>
      </c>
      <c r="J61" s="51">
        <f>'5.Investments'!E10</f>
        <v>20000</v>
      </c>
      <c r="K61" s="51">
        <f>'5.Investments'!F10</f>
        <v>20000</v>
      </c>
      <c r="L61" s="51">
        <f>'5.Investments'!G10</f>
        <v>20000</v>
      </c>
    </row>
    <row r="62" spans="1:13" ht="12" x14ac:dyDescent="0.25">
      <c r="A62" s="110" t="s">
        <v>114</v>
      </c>
      <c r="B62" s="95">
        <v>0.2</v>
      </c>
      <c r="C62" s="109"/>
      <c r="D62" s="95">
        <v>0.22</v>
      </c>
      <c r="G62" s="80">
        <f>-IF(G61=0,-F62,(G61*$B62)+F62)</f>
        <v>0</v>
      </c>
      <c r="H62" s="80">
        <f>-IF(H61=0,-G62,(H61*$B62)+G62)</f>
        <v>-4000</v>
      </c>
      <c r="I62" s="80">
        <f>-IF(I61=0,-H62,(I61*$B62)-H62)</f>
        <v>-7600</v>
      </c>
      <c r="J62" s="80">
        <f>-IF(J61=0,-I62,(J61*$B62)-I62)</f>
        <v>-11600</v>
      </c>
      <c r="K62" s="80">
        <f>-IF(K61=0,-J62,(K61*$B62)-J62)</f>
        <v>-15600</v>
      </c>
      <c r="L62" s="80">
        <f>-IF(L61=0,-K62,(L61*$B62)-K62)</f>
        <v>-19600</v>
      </c>
    </row>
    <row r="63" spans="1:13" x14ac:dyDescent="0.2">
      <c r="A63" s="50"/>
      <c r="B63" s="56"/>
      <c r="C63" s="56"/>
      <c r="D63" s="56"/>
      <c r="G63" s="80"/>
      <c r="H63" s="80"/>
      <c r="I63" s="80"/>
      <c r="J63" s="80"/>
      <c r="K63" s="80"/>
      <c r="L63" s="80"/>
    </row>
    <row r="64" spans="1:13" ht="12" x14ac:dyDescent="0.25">
      <c r="A64" s="19" t="s">
        <v>115</v>
      </c>
    </row>
    <row r="65" spans="1:12" x14ac:dyDescent="0.2">
      <c r="G65" s="55"/>
      <c r="H65" s="55"/>
      <c r="I65" s="55"/>
      <c r="J65" s="55"/>
      <c r="K65" s="55"/>
      <c r="L65" s="55"/>
    </row>
    <row r="66" spans="1:12" x14ac:dyDescent="0.2">
      <c r="A66" s="53" t="s">
        <v>81</v>
      </c>
      <c r="G66" s="55">
        <f t="shared" ref="G66:L67" si="8">G76+G74+G72+G70</f>
        <v>245247.33333333334</v>
      </c>
      <c r="H66" s="55">
        <f t="shared" si="8"/>
        <v>9521.0293561148119</v>
      </c>
      <c r="I66" s="55">
        <f t="shared" si="8"/>
        <v>99658.298432726602</v>
      </c>
      <c r="J66" s="55">
        <f t="shared" si="8"/>
        <v>113408.55035699994</v>
      </c>
      <c r="K66" s="55">
        <f t="shared" si="8"/>
        <v>6171384.9892565357</v>
      </c>
      <c r="L66" s="55">
        <f t="shared" si="8"/>
        <v>236428.94677484359</v>
      </c>
    </row>
    <row r="67" spans="1:12" x14ac:dyDescent="0.2">
      <c r="A67" s="53" t="s">
        <v>114</v>
      </c>
      <c r="G67" s="57">
        <f t="shared" si="8"/>
        <v>-49049.466666666667</v>
      </c>
      <c r="H67" s="57">
        <f t="shared" si="8"/>
        <v>-50854.739204556296</v>
      </c>
      <c r="I67" s="57">
        <f t="shared" si="8"/>
        <v>-67076.920481989029</v>
      </c>
      <c r="J67" s="57">
        <f t="shared" si="8"/>
        <v>-73604.789589410968</v>
      </c>
      <c r="K67" s="57">
        <f t="shared" si="8"/>
        <v>-1258672.2082618962</v>
      </c>
      <c r="L67" s="57">
        <f t="shared" si="8"/>
        <v>-1217613.5810930724</v>
      </c>
    </row>
    <row r="68" spans="1:12" s="19" customFormat="1" ht="12" x14ac:dyDescent="0.25">
      <c r="A68" s="81" t="s">
        <v>115</v>
      </c>
      <c r="B68" s="81"/>
      <c r="C68" s="81"/>
      <c r="D68" s="81"/>
      <c r="E68" s="81"/>
      <c r="F68" s="81"/>
      <c r="G68" s="89">
        <f t="shared" ref="G68:L68" si="9">G66+G67+F68</f>
        <v>196197.86666666667</v>
      </c>
      <c r="H68" s="89">
        <f t="shared" si="9"/>
        <v>154864.15681822519</v>
      </c>
      <c r="I68" s="89">
        <f t="shared" si="9"/>
        <v>187445.53476896277</v>
      </c>
      <c r="J68" s="89">
        <f t="shared" si="9"/>
        <v>227249.29553655174</v>
      </c>
      <c r="K68" s="89">
        <f t="shared" si="9"/>
        <v>5139962.0765311914</v>
      </c>
      <c r="L68" s="89">
        <f t="shared" si="9"/>
        <v>4158777.4422129625</v>
      </c>
    </row>
    <row r="69" spans="1:12" x14ac:dyDescent="0.2">
      <c r="A69" s="50"/>
      <c r="B69" s="56"/>
      <c r="C69" s="56"/>
      <c r="D69" s="56"/>
      <c r="G69" s="80"/>
      <c r="H69" s="80"/>
      <c r="I69" s="80"/>
      <c r="J69" s="80"/>
      <c r="K69" s="80"/>
      <c r="L69" s="80"/>
    </row>
    <row r="70" spans="1:12" x14ac:dyDescent="0.2">
      <c r="A70" s="53" t="s">
        <v>201</v>
      </c>
      <c r="B70" s="56"/>
      <c r="C70" s="56"/>
      <c r="D70" s="56"/>
      <c r="G70" s="51">
        <f>SUM('2.Launch costs'!B4:B11)</f>
        <v>245000</v>
      </c>
      <c r="H70" s="80"/>
      <c r="I70" s="80"/>
      <c r="J70" s="80"/>
      <c r="K70" s="80"/>
      <c r="L70" s="80"/>
    </row>
    <row r="71" spans="1:12" ht="12" x14ac:dyDescent="0.25">
      <c r="A71" s="110" t="s">
        <v>114</v>
      </c>
      <c r="B71" s="95">
        <v>0.2</v>
      </c>
      <c r="C71" s="56"/>
      <c r="D71" s="95">
        <v>0.1</v>
      </c>
      <c r="G71" s="80">
        <f>-IF(G70=0,-F71,(G70*$B71)+F71)</f>
        <v>-49000</v>
      </c>
      <c r="H71" s="80">
        <f>-IF(H70=0,-G71,(H70*$B71)+G71)</f>
        <v>-49000</v>
      </c>
      <c r="I71" s="80">
        <f>-IF(I70=0,-H71,(I70*$B71)+H71)</f>
        <v>-49000</v>
      </c>
      <c r="J71" s="80">
        <f>-IF(J70=0,-I71,(J70*$B71)+I71)</f>
        <v>-49000</v>
      </c>
      <c r="K71" s="80">
        <f>-IF(K70=0,-J71,(K70*$B71)+J71)</f>
        <v>-49000</v>
      </c>
      <c r="L71" s="80"/>
    </row>
    <row r="72" spans="1:12" x14ac:dyDescent="0.2">
      <c r="A72" s="53" t="str">
        <f>'5.Investments'!A7</f>
        <v>Holding constitution</v>
      </c>
      <c r="B72" s="56"/>
      <c r="C72" s="56"/>
      <c r="D72" s="56"/>
      <c r="G72" s="51">
        <f>'5.Investments'!B7</f>
        <v>0</v>
      </c>
      <c r="H72" s="51">
        <f>'5.Investments'!C7</f>
        <v>0</v>
      </c>
      <c r="I72" s="51">
        <f>'5.Investments'!D7</f>
        <v>50000</v>
      </c>
      <c r="J72" s="51">
        <f>'5.Investments'!E7</f>
        <v>0</v>
      </c>
      <c r="K72" s="51">
        <f>'5.Investments'!F7</f>
        <v>6000000</v>
      </c>
      <c r="L72" s="51">
        <f>'5.Investments'!G7</f>
        <v>0</v>
      </c>
    </row>
    <row r="73" spans="1:12" ht="12" x14ac:dyDescent="0.25">
      <c r="A73" s="110" t="s">
        <v>114</v>
      </c>
      <c r="B73" s="95">
        <v>0.2</v>
      </c>
      <c r="C73" s="56"/>
      <c r="D73" s="95">
        <v>0.22</v>
      </c>
      <c r="G73" s="80">
        <f t="shared" ref="G73:L73" si="10">-IF(G72=0,-F73,(G72*$B73)+F73)</f>
        <v>0</v>
      </c>
      <c r="H73" s="80">
        <f t="shared" si="10"/>
        <v>0</v>
      </c>
      <c r="I73" s="80">
        <f t="shared" si="10"/>
        <v>-10000</v>
      </c>
      <c r="J73" s="80">
        <f t="shared" si="10"/>
        <v>-10000</v>
      </c>
      <c r="K73" s="80">
        <f t="shared" si="10"/>
        <v>-1190000</v>
      </c>
      <c r="L73" s="80">
        <f t="shared" si="10"/>
        <v>-1190000</v>
      </c>
    </row>
    <row r="74" spans="1:12" x14ac:dyDescent="0.2">
      <c r="A74" s="53" t="str">
        <f>'5.Investments'!A8</f>
        <v>Technology R&amp;D</v>
      </c>
      <c r="B74" s="56"/>
      <c r="C74" s="56"/>
      <c r="D74" s="56"/>
      <c r="G74" s="51">
        <f>'5.Investments'!B8</f>
        <v>247.3333333333334</v>
      </c>
      <c r="H74" s="51">
        <f>'5.Investments'!C8</f>
        <v>6347.3529040765416</v>
      </c>
      <c r="I74" s="51">
        <f>'5.Investments'!D8</f>
        <v>33105.532288484399</v>
      </c>
      <c r="J74" s="51">
        <f>'5.Investments'!E8</f>
        <v>75605.700237999961</v>
      </c>
      <c r="K74" s="51">
        <f>'5.Investments'!F8</f>
        <v>114256.65950435739</v>
      </c>
      <c r="L74" s="51">
        <f>'5.Investments'!G8</f>
        <v>157619.29784989572</v>
      </c>
    </row>
    <row r="75" spans="1:12" ht="12" x14ac:dyDescent="0.25">
      <c r="A75" s="110" t="s">
        <v>114</v>
      </c>
      <c r="B75" s="95">
        <v>0.2</v>
      </c>
      <c r="C75" s="56"/>
      <c r="D75" s="95">
        <v>0.22</v>
      </c>
      <c r="G75" s="80">
        <f t="shared" ref="G75:L75" si="11">-IF(G74=0,-F75,(G74*$B75)+F75)</f>
        <v>-49.466666666666683</v>
      </c>
      <c r="H75" s="80">
        <f t="shared" si="11"/>
        <v>-1220.0039141486418</v>
      </c>
      <c r="I75" s="80">
        <f t="shared" si="11"/>
        <v>-5401.1025435482388</v>
      </c>
      <c r="J75" s="80">
        <f t="shared" si="11"/>
        <v>-9720.0375040517538</v>
      </c>
      <c r="K75" s="80">
        <f t="shared" si="11"/>
        <v>-13131.294396819725</v>
      </c>
      <c r="L75" s="80">
        <f t="shared" si="11"/>
        <v>-18392.565173159423</v>
      </c>
    </row>
    <row r="76" spans="1:12" x14ac:dyDescent="0.2">
      <c r="A76" s="53" t="str">
        <f>'5.Investments'!A9</f>
        <v>IT Infrastructure Costs Server disaster management</v>
      </c>
      <c r="C76" s="56"/>
      <c r="D76" s="56"/>
      <c r="G76" s="51">
        <f>'5.Investments'!B9</f>
        <v>0</v>
      </c>
      <c r="H76" s="51">
        <f>'5.Investments'!C9</f>
        <v>3173.6764520382708</v>
      </c>
      <c r="I76" s="51">
        <f>'5.Investments'!D9</f>
        <v>16552.7661442422</v>
      </c>
      <c r="J76" s="51">
        <f>'5.Investments'!E9</f>
        <v>37802.850118999981</v>
      </c>
      <c r="K76" s="51">
        <f>'5.Investments'!F9</f>
        <v>57128.329752178695</v>
      </c>
      <c r="L76" s="51">
        <f>'5.Investments'!G9</f>
        <v>78809.648924947862</v>
      </c>
    </row>
    <row r="77" spans="1:12" ht="12" x14ac:dyDescent="0.25">
      <c r="A77" s="110" t="s">
        <v>114</v>
      </c>
      <c r="B77" s="95">
        <v>0.2</v>
      </c>
      <c r="C77" s="108"/>
      <c r="D77" s="95">
        <v>0.22</v>
      </c>
      <c r="G77" s="80">
        <f t="shared" ref="G77:L77" si="12">-IF(G76=0,-F77,(G76*$B77)+F77)</f>
        <v>0</v>
      </c>
      <c r="H77" s="80">
        <f t="shared" si="12"/>
        <v>-634.73529040765425</v>
      </c>
      <c r="I77" s="80">
        <f t="shared" si="12"/>
        <v>-2675.8179384407858</v>
      </c>
      <c r="J77" s="80">
        <f t="shared" si="12"/>
        <v>-4884.7520853592105</v>
      </c>
      <c r="K77" s="80">
        <f t="shared" si="12"/>
        <v>-6540.913865076529</v>
      </c>
      <c r="L77" s="80">
        <f t="shared" si="12"/>
        <v>-9221.0159199130449</v>
      </c>
    </row>
    <row r="78" spans="1:12" s="14" customFormat="1" x14ac:dyDescent="0.2">
      <c r="B78" s="111"/>
      <c r="C78" s="111"/>
      <c r="D78" s="111"/>
    </row>
    <row r="79" spans="1:12" x14ac:dyDescent="0.2">
      <c r="B79" s="99"/>
      <c r="C79" s="99"/>
      <c r="D79" s="99"/>
    </row>
    <row r="80" spans="1:12" ht="12" x14ac:dyDescent="0.25">
      <c r="A80" s="19" t="s">
        <v>117</v>
      </c>
    </row>
    <row r="83" spans="1:13" x14ac:dyDescent="0.2">
      <c r="A83" s="5" t="s">
        <v>123</v>
      </c>
      <c r="G83" s="59">
        <f t="shared" ref="G83:L83" si="13">G13*(1+$D$13)</f>
        <v>15087.333333333338</v>
      </c>
      <c r="H83" s="59">
        <f t="shared" si="13"/>
        <v>387188.527148669</v>
      </c>
      <c r="I83" s="59">
        <f t="shared" si="13"/>
        <v>2019437.4695975482</v>
      </c>
      <c r="J83" s="59">
        <f t="shared" si="13"/>
        <v>4611947.7145179976</v>
      </c>
      <c r="K83" s="59">
        <f t="shared" si="13"/>
        <v>6969656.2297658008</v>
      </c>
      <c r="L83" s="59">
        <f t="shared" si="13"/>
        <v>9614777.16884364</v>
      </c>
    </row>
    <row r="84" spans="1:13" x14ac:dyDescent="0.2">
      <c r="A84" s="50" t="s">
        <v>118</v>
      </c>
      <c r="B84" s="5"/>
      <c r="D84" s="54">
        <v>0.99</v>
      </c>
      <c r="G84" s="57">
        <f>-G83*$D$84</f>
        <v>-14936.460000000005</v>
      </c>
      <c r="H84" s="57">
        <f>-(H83-H86)*$D$84</f>
        <v>-351811.16446261934</v>
      </c>
      <c r="I84" s="57">
        <f>-(I83-I86)*$D$84</f>
        <v>-1834921.74463569</v>
      </c>
      <c r="J84" s="57">
        <f>-(J83-J86)*$D$84</f>
        <v>-4190554.6836161478</v>
      </c>
      <c r="K84" s="57">
        <f>-(K83-K86)*$D$84</f>
        <v>-6332839.6947995285</v>
      </c>
      <c r="L84" s="57">
        <f>-(L83-L86)*$D$84</f>
        <v>-8736276.2960191593</v>
      </c>
    </row>
    <row r="85" spans="1:13" x14ac:dyDescent="0.2">
      <c r="A85" s="50" t="s">
        <v>119</v>
      </c>
      <c r="B85" s="5"/>
      <c r="D85" s="63">
        <f>1-D84</f>
        <v>1.0000000000000009E-2</v>
      </c>
      <c r="G85" s="57">
        <f t="shared" ref="G85:L85" si="14">-(G83-G86)*$D$85</f>
        <v>-138.47278538812802</v>
      </c>
      <c r="H85" s="57">
        <f t="shared" si="14"/>
        <v>-3553.6481258850472</v>
      </c>
      <c r="I85" s="57">
        <f t="shared" si="14"/>
        <v>-18534.563077128198</v>
      </c>
      <c r="J85" s="57">
        <f t="shared" si="14"/>
        <v>-42328.835188041936</v>
      </c>
      <c r="K85" s="57">
        <f t="shared" si="14"/>
        <v>-63968.077725247815</v>
      </c>
      <c r="L85" s="57">
        <f t="shared" si="14"/>
        <v>-88245.215111304715</v>
      </c>
    </row>
    <row r="86" spans="1:13" x14ac:dyDescent="0.2">
      <c r="A86" s="5" t="s">
        <v>120</v>
      </c>
      <c r="G86" s="59">
        <f t="shared" ref="G86:L86" si="15">G83/365*G87</f>
        <v>1240.0547945205483</v>
      </c>
      <c r="H86" s="59">
        <f t="shared" si="15"/>
        <v>31823.714560164579</v>
      </c>
      <c r="I86" s="59">
        <f t="shared" si="15"/>
        <v>165981.16188473001</v>
      </c>
      <c r="J86" s="59">
        <f t="shared" si="15"/>
        <v>379064.195713808</v>
      </c>
      <c r="K86" s="59">
        <f t="shared" si="15"/>
        <v>572848.45724102482</v>
      </c>
      <c r="L86" s="59">
        <f t="shared" si="15"/>
        <v>790255.65771317598</v>
      </c>
    </row>
    <row r="87" spans="1:13" x14ac:dyDescent="0.2">
      <c r="A87" s="5" t="s">
        <v>121</v>
      </c>
      <c r="B87" t="s">
        <v>14</v>
      </c>
      <c r="G87" s="211">
        <v>30</v>
      </c>
      <c r="H87" s="211">
        <v>30</v>
      </c>
      <c r="I87" s="211">
        <v>30</v>
      </c>
      <c r="J87" s="211">
        <v>30</v>
      </c>
      <c r="K87" s="211">
        <v>30</v>
      </c>
      <c r="L87" s="211">
        <v>30</v>
      </c>
      <c r="M87" s="62"/>
    </row>
    <row r="89" spans="1:13" x14ac:dyDescent="0.2">
      <c r="A89" s="65" t="s">
        <v>122</v>
      </c>
      <c r="G89" s="64">
        <f t="shared" ref="G89:L89" si="16">($D$39*G39+G18*$D$18+G32*$D$32+G33*$D$33+G34*$D$34+G35*$D$35+G36*$D$36+G37*$D$37+G38*$D$38+G40*$D$40+G41*$D$41)/(G18+SUM(G32:G41))</f>
        <v>0.21942257217847769</v>
      </c>
      <c r="H89" s="64">
        <f t="shared" si="16"/>
        <v>0.21930046112877222</v>
      </c>
      <c r="I89" s="64">
        <f t="shared" si="16"/>
        <v>0.2198535796205523</v>
      </c>
      <c r="J89" s="64">
        <f t="shared" si="16"/>
        <v>0.21969865140096612</v>
      </c>
      <c r="K89" s="64">
        <f t="shared" si="16"/>
        <v>0.21956285479010337</v>
      </c>
      <c r="L89" s="64">
        <f t="shared" si="16"/>
        <v>0.21943284929142029</v>
      </c>
    </row>
    <row r="91" spans="1:13" x14ac:dyDescent="0.2">
      <c r="A91" s="5" t="s">
        <v>124</v>
      </c>
      <c r="G91" s="59">
        <f t="shared" ref="G91:L91" si="17">(G18+SUM(G32:G40))*(1+G89)</f>
        <v>1387702.8871391076</v>
      </c>
      <c r="H91" s="59">
        <f t="shared" si="17"/>
        <v>2798188.1519412799</v>
      </c>
      <c r="I91" s="59">
        <f t="shared" si="17"/>
        <v>2993503.3506240612</v>
      </c>
      <c r="J91" s="59">
        <f t="shared" si="17"/>
        <v>3273911.5633609868</v>
      </c>
      <c r="K91" s="59">
        <f t="shared" si="17"/>
        <v>3506329.0677384562</v>
      </c>
      <c r="L91" s="59">
        <f t="shared" si="17"/>
        <v>3727876.2281357781</v>
      </c>
    </row>
    <row r="92" spans="1:13" x14ac:dyDescent="0.2">
      <c r="A92" s="5" t="s">
        <v>125</v>
      </c>
      <c r="G92" s="59">
        <f t="shared" ref="G92:L92" si="18">G91/365*G93</f>
        <v>114057.77154568008</v>
      </c>
      <c r="H92" s="52">
        <f t="shared" si="18"/>
        <v>229988.06728284492</v>
      </c>
      <c r="I92" s="52">
        <f t="shared" si="18"/>
        <v>246041.37128416941</v>
      </c>
      <c r="J92" s="52">
        <f t="shared" si="18"/>
        <v>269088.62164610851</v>
      </c>
      <c r="K92" s="52">
        <f t="shared" si="18"/>
        <v>288191.4302250786</v>
      </c>
      <c r="L92" s="52">
        <f t="shared" si="18"/>
        <v>306400.78587417351</v>
      </c>
    </row>
    <row r="93" spans="1:13" x14ac:dyDescent="0.2">
      <c r="A93" s="5" t="s">
        <v>126</v>
      </c>
      <c r="B93" t="s">
        <v>14</v>
      </c>
      <c r="G93" s="211">
        <v>30</v>
      </c>
      <c r="H93" s="211">
        <v>30</v>
      </c>
      <c r="I93" s="211">
        <v>30</v>
      </c>
      <c r="J93" s="211">
        <v>30</v>
      </c>
      <c r="K93" s="211">
        <v>30</v>
      </c>
      <c r="L93" s="211">
        <v>30</v>
      </c>
      <c r="M93" s="61"/>
    </row>
    <row r="96" spans="1:13" x14ac:dyDescent="0.2">
      <c r="A96" s="5" t="s">
        <v>128</v>
      </c>
      <c r="G96" s="92">
        <f t="shared" ref="G96:L96" si="19">-(G13*$D$13)</f>
        <v>-2720.6666666666674</v>
      </c>
      <c r="H96" s="92">
        <f t="shared" si="19"/>
        <v>-69820.881944841953</v>
      </c>
      <c r="I96" s="92">
        <f t="shared" si="19"/>
        <v>-364160.85517332837</v>
      </c>
      <c r="J96" s="92">
        <f t="shared" si="19"/>
        <v>-831662.70261799952</v>
      </c>
      <c r="K96" s="92">
        <f t="shared" si="19"/>
        <v>-1256823.2545479313</v>
      </c>
      <c r="L96" s="92">
        <f t="shared" si="19"/>
        <v>-1733812.276348853</v>
      </c>
    </row>
    <row r="97" spans="1:12" x14ac:dyDescent="0.2">
      <c r="A97" s="5" t="s">
        <v>129</v>
      </c>
      <c r="G97" s="59">
        <f t="shared" ref="G97:L97" si="20">(G39*$D$39+G18*$D$18+G32*$D$32+G33*$D$33+G34*$D$34+G35*$D$35+G36*$D$36+G37*$D$37+G38*$D$38+G40*$D$40+G41*$D$41)</f>
        <v>250800</v>
      </c>
      <c r="H97" s="59">
        <f t="shared" si="20"/>
        <v>504667.39771817386</v>
      </c>
      <c r="I97" s="59">
        <f t="shared" si="20"/>
        <v>546795.93011224398</v>
      </c>
      <c r="J97" s="59">
        <f t="shared" si="20"/>
        <v>606324.94981382962</v>
      </c>
      <c r="K97" s="59">
        <f t="shared" si="20"/>
        <v>631258.66528517404</v>
      </c>
      <c r="L97" s="59">
        <f t="shared" si="20"/>
        <v>670818.81796190341</v>
      </c>
    </row>
    <row r="98" spans="1:12" x14ac:dyDescent="0.2">
      <c r="A98" s="5" t="s">
        <v>130</v>
      </c>
      <c r="G98" s="93">
        <f t="shared" ref="G98:L98" si="21">(G59*$D$60+G61*$D$6+G72*$D$73+G74*$D$75+G76*$D$77)</f>
        <v>54.413333333333348</v>
      </c>
      <c r="H98" s="93">
        <f t="shared" si="21"/>
        <v>2094.6264583452589</v>
      </c>
      <c r="I98" s="93">
        <f t="shared" ca="1" si="21"/>
        <v>56459.996751529121</v>
      </c>
      <c r="J98" s="93">
        <f t="shared" si="21"/>
        <v>24949.881078539991</v>
      </c>
      <c r="K98" s="93">
        <f t="shared" si="21"/>
        <v>1357704.6976364378</v>
      </c>
      <c r="L98" s="93">
        <f t="shared" si="21"/>
        <v>52014.368290465587</v>
      </c>
    </row>
    <row r="100" spans="1:12" s="19" customFormat="1" ht="12" x14ac:dyDescent="0.25">
      <c r="A100" s="5" t="s">
        <v>131</v>
      </c>
      <c r="G100" s="101">
        <f t="shared" ref="G100:L100" si="22">SUM(G96:G98)+F100</f>
        <v>248133.74666666667</v>
      </c>
      <c r="H100" s="101">
        <f t="shared" si="22"/>
        <v>685074.8888983439</v>
      </c>
      <c r="I100" s="101">
        <f t="shared" ca="1" si="22"/>
        <v>924169.96058878861</v>
      </c>
      <c r="J100" s="101">
        <f t="shared" ca="1" si="22"/>
        <v>723782.08886315871</v>
      </c>
      <c r="K100" s="101">
        <f t="shared" ca="1" si="22"/>
        <v>1455922.1972368392</v>
      </c>
      <c r="L100" s="101">
        <f t="shared" ca="1" si="22"/>
        <v>444943.10714035504</v>
      </c>
    </row>
    <row r="101" spans="1:12" x14ac:dyDescent="0.2">
      <c r="A101" s="25" t="s">
        <v>34</v>
      </c>
      <c r="C101" s="292" t="s">
        <v>139</v>
      </c>
      <c r="D101" s="293"/>
      <c r="E101" s="293"/>
      <c r="F101" s="293"/>
      <c r="G101" s="80">
        <f t="shared" ref="G101:L101" si="23">-F100</f>
        <v>0</v>
      </c>
      <c r="H101" s="80">
        <f t="shared" si="23"/>
        <v>-248133.74666666667</v>
      </c>
      <c r="I101" s="80">
        <f t="shared" si="23"/>
        <v>-685074.8888983439</v>
      </c>
      <c r="J101" s="80">
        <f t="shared" ca="1" si="23"/>
        <v>-924169.96058878861</v>
      </c>
      <c r="K101" s="80">
        <f t="shared" ca="1" si="23"/>
        <v>-723782.08886315871</v>
      </c>
      <c r="L101" s="80">
        <f t="shared" ca="1" si="23"/>
        <v>-1455922.1972368392</v>
      </c>
    </row>
    <row r="102" spans="1:12" x14ac:dyDescent="0.2">
      <c r="A102" s="25"/>
      <c r="G102" s="80"/>
      <c r="H102" s="80"/>
      <c r="I102" s="80"/>
      <c r="J102" s="80"/>
      <c r="K102" s="80"/>
      <c r="L102" s="80"/>
    </row>
    <row r="103" spans="1:12" ht="12" x14ac:dyDescent="0.25">
      <c r="A103" s="19" t="s">
        <v>127</v>
      </c>
      <c r="G103" s="86">
        <f t="shared" ref="G103:L103" si="24">G100+G101</f>
        <v>248133.74666666667</v>
      </c>
      <c r="H103" s="86">
        <f t="shared" si="24"/>
        <v>436941.14223167719</v>
      </c>
      <c r="I103" s="86">
        <f t="shared" ca="1" si="24"/>
        <v>239095.07169044472</v>
      </c>
      <c r="J103" s="86">
        <f t="shared" ca="1" si="24"/>
        <v>-200387.8717256299</v>
      </c>
      <c r="K103" s="86">
        <f t="shared" ca="1" si="24"/>
        <v>732140.1083736805</v>
      </c>
      <c r="L103" s="86">
        <f t="shared" ca="1" si="24"/>
        <v>-1010979.0900964842</v>
      </c>
    </row>
    <row r="104" spans="1:12" x14ac:dyDescent="0.2">
      <c r="A104" s="75"/>
      <c r="D104" s="75"/>
      <c r="E104" s="75"/>
      <c r="F104" s="75"/>
      <c r="G104" s="75"/>
      <c r="H104" s="75"/>
      <c r="L104" s="75"/>
    </row>
    <row r="105" spans="1:12" s="113" customFormat="1" ht="12" x14ac:dyDescent="0.25">
      <c r="A105" s="113" t="s">
        <v>134</v>
      </c>
      <c r="G105" s="115">
        <f t="shared" ref="G105:L105" si="25">SUM(G107:G108)</f>
        <v>1636.936859711946</v>
      </c>
      <c r="H105" s="114">
        <f>SUM(H107:H108)</f>
        <v>30664.474249101899</v>
      </c>
      <c r="I105" s="114">
        <f>SUM(I107:I108)</f>
        <v>81598.816003289467</v>
      </c>
      <c r="J105" s="114">
        <f t="shared" si="25"/>
        <v>175501.59859461949</v>
      </c>
      <c r="K105" s="114">
        <f t="shared" si="25"/>
        <v>313362.44845320261</v>
      </c>
      <c r="L105" s="114">
        <f t="shared" si="25"/>
        <v>520879.41529806366</v>
      </c>
    </row>
    <row r="106" spans="1:12" ht="12" x14ac:dyDescent="0.25">
      <c r="A106" s="19"/>
      <c r="G106" s="59"/>
    </row>
    <row r="107" spans="1:12" x14ac:dyDescent="0.2">
      <c r="A107" s="5" t="s">
        <v>133</v>
      </c>
      <c r="G107" s="58">
        <f t="shared" ref="G107:L107" si="26">+F107+G25</f>
        <v>1498.4640743238181</v>
      </c>
      <c r="H107" s="58">
        <f t="shared" si="26"/>
        <v>26972.353337828725</v>
      </c>
      <c r="I107" s="58">
        <f t="shared" si="26"/>
        <v>59510.604800276225</v>
      </c>
      <c r="J107" s="58">
        <f t="shared" si="26"/>
        <v>114776.67311483747</v>
      </c>
      <c r="K107" s="58">
        <f t="shared" si="26"/>
        <v>210757.65645118605</v>
      </c>
      <c r="L107" s="58">
        <f t="shared" si="26"/>
        <v>390754.33366452437</v>
      </c>
    </row>
    <row r="108" spans="1:12" x14ac:dyDescent="0.2">
      <c r="A108" s="5" t="s">
        <v>132</v>
      </c>
      <c r="G108" s="59">
        <f>F108-G85+G109</f>
        <v>138.47278538812802</v>
      </c>
      <c r="H108" s="58">
        <f>+G108-H85+H109</f>
        <v>3692.1209112731754</v>
      </c>
      <c r="I108" s="58">
        <f>+H108-I85+I109</f>
        <v>22088.211203013245</v>
      </c>
      <c r="J108" s="58">
        <f>+I108-J85+J109</f>
        <v>60724.925479782003</v>
      </c>
      <c r="K108" s="58">
        <f>+J108-K85+K109</f>
        <v>102604.79200201658</v>
      </c>
      <c r="L108" s="58">
        <f>+K108-L85+L109</f>
        <v>130125.08163353927</v>
      </c>
    </row>
    <row r="109" spans="1:12" x14ac:dyDescent="0.2">
      <c r="A109" s="25"/>
      <c r="C109" s="292" t="s">
        <v>141</v>
      </c>
      <c r="D109" s="293"/>
      <c r="E109" s="293"/>
      <c r="F109" s="293"/>
      <c r="G109" s="59">
        <f>-D108</f>
        <v>0</v>
      </c>
      <c r="H109" s="59">
        <f>-E108</f>
        <v>0</v>
      </c>
      <c r="I109" s="80">
        <f>-G108</f>
        <v>-138.47278538812802</v>
      </c>
      <c r="J109" s="80">
        <f>-H108</f>
        <v>-3692.1209112731754</v>
      </c>
      <c r="K109" s="80">
        <f>-I108</f>
        <v>-22088.211203013245</v>
      </c>
      <c r="L109" s="80">
        <f>-J108</f>
        <v>-60724.925479782003</v>
      </c>
    </row>
    <row r="110" spans="1:12" x14ac:dyDescent="0.2">
      <c r="A110" s="5"/>
      <c r="G110" s="59"/>
      <c r="H110" s="59"/>
      <c r="I110" s="58"/>
      <c r="J110" s="58"/>
      <c r="K110" s="58"/>
      <c r="L110" s="58"/>
    </row>
    <row r="111" spans="1:12" x14ac:dyDescent="0.2">
      <c r="A111" s="5"/>
      <c r="G111" s="59"/>
      <c r="H111" s="59"/>
      <c r="I111" s="58"/>
      <c r="J111" s="58"/>
      <c r="K111" s="58"/>
      <c r="L111" s="58"/>
    </row>
    <row r="112" spans="1:12" s="113" customFormat="1" ht="12" x14ac:dyDescent="0.25">
      <c r="A112" s="113" t="s">
        <v>135</v>
      </c>
      <c r="G112" s="115"/>
      <c r="H112" s="114"/>
      <c r="I112" s="114"/>
      <c r="J112" s="114"/>
      <c r="K112" s="114"/>
      <c r="L112" s="114"/>
    </row>
    <row r="113" spans="1:12" x14ac:dyDescent="0.2">
      <c r="A113" s="50" t="s">
        <v>136</v>
      </c>
      <c r="C113" s="292" t="s">
        <v>140</v>
      </c>
      <c r="D113" s="293"/>
      <c r="E113" s="293"/>
      <c r="F113" s="293"/>
      <c r="G113" s="80">
        <f t="shared" ref="G113:L113" si="27">-G26</f>
        <v>-8272.2709223046386</v>
      </c>
      <c r="H113" s="80">
        <f t="shared" si="27"/>
        <v>-140628.60567917887</v>
      </c>
      <c r="I113" s="80">
        <f t="shared" si="27"/>
        <v>-179627.41719844149</v>
      </c>
      <c r="J113" s="80">
        <f t="shared" si="27"/>
        <v>-305096.33013053547</v>
      </c>
      <c r="K113" s="80">
        <f t="shared" si="27"/>
        <v>-529863.01850831241</v>
      </c>
      <c r="L113" s="80">
        <f t="shared" si="27"/>
        <v>-993671.65655623388</v>
      </c>
    </row>
    <row r="114" spans="1:12" ht="12" x14ac:dyDescent="0.25">
      <c r="A114" s="50" t="s">
        <v>137</v>
      </c>
      <c r="D114" s="100">
        <v>0.9</v>
      </c>
      <c r="G114" s="59">
        <f t="shared" ref="G114:L114" si="28">-G113*$D$114</f>
        <v>7445.0438300741753</v>
      </c>
      <c r="H114" s="80">
        <f t="shared" si="28"/>
        <v>126565.74511126099</v>
      </c>
      <c r="I114" s="80">
        <f t="shared" si="28"/>
        <v>161664.67547859735</v>
      </c>
      <c r="J114" s="80">
        <f t="shared" si="28"/>
        <v>274586.6971174819</v>
      </c>
      <c r="K114" s="80">
        <f t="shared" si="28"/>
        <v>476876.71665748116</v>
      </c>
      <c r="L114" s="80">
        <f t="shared" si="28"/>
        <v>894304.49090061046</v>
      </c>
    </row>
    <row r="115" spans="1:12" x14ac:dyDescent="0.2">
      <c r="A115" s="87" t="s">
        <v>138</v>
      </c>
      <c r="G115" s="101">
        <f t="shared" ref="G115:L115" si="29">G113+G114+F115</f>
        <v>-827.22709223046331</v>
      </c>
      <c r="H115" s="101">
        <f t="shared" si="29"/>
        <v>-14890.087660148351</v>
      </c>
      <c r="I115" s="101">
        <f t="shared" si="29"/>
        <v>-32852.829379992487</v>
      </c>
      <c r="J115" s="101">
        <f t="shared" si="29"/>
        <v>-63362.462393046051</v>
      </c>
      <c r="K115" s="101">
        <f t="shared" si="29"/>
        <v>-116348.7642438773</v>
      </c>
      <c r="L115" s="101">
        <f t="shared" si="29"/>
        <v>-215715.92989950074</v>
      </c>
    </row>
    <row r="116" spans="1:12" x14ac:dyDescent="0.2">
      <c r="A116" s="87"/>
    </row>
    <row r="117" spans="1:12" x14ac:dyDescent="0.2">
      <c r="A117" s="87"/>
    </row>
    <row r="118" spans="1:12" x14ac:dyDescent="0.2">
      <c r="A118" s="53"/>
    </row>
    <row r="119" spans="1:12" x14ac:dyDescent="0.2">
      <c r="A119" s="53"/>
      <c r="F119" s="21"/>
      <c r="G119" s="71"/>
      <c r="H119" s="71"/>
      <c r="I119" s="71"/>
      <c r="J119" s="71"/>
      <c r="K119" s="71"/>
      <c r="L119" s="71"/>
    </row>
    <row r="120" spans="1:12" ht="12" x14ac:dyDescent="0.25">
      <c r="A120" s="19"/>
      <c r="F120" s="77"/>
      <c r="G120" s="77"/>
      <c r="H120" s="77"/>
      <c r="I120" s="77"/>
      <c r="J120" s="77"/>
      <c r="K120" s="77"/>
      <c r="L120" s="77"/>
    </row>
    <row r="121" spans="1:12" x14ac:dyDescent="0.2">
      <c r="F121" s="61"/>
    </row>
    <row r="122" spans="1:12" x14ac:dyDescent="0.2">
      <c r="F122" s="77"/>
      <c r="G122" s="18"/>
      <c r="H122" s="18"/>
      <c r="I122" s="18"/>
      <c r="J122" s="18"/>
      <c r="K122" s="18"/>
      <c r="L122" s="18"/>
    </row>
    <row r="123" spans="1:12" x14ac:dyDescent="0.2">
      <c r="F123" s="77"/>
      <c r="G123" s="18"/>
      <c r="H123" s="18"/>
      <c r="I123" s="18"/>
      <c r="J123" s="18"/>
      <c r="K123" s="18"/>
      <c r="L123" s="18"/>
    </row>
    <row r="124" spans="1:12" x14ac:dyDescent="0.2">
      <c r="F124" s="61"/>
    </row>
    <row r="125" spans="1:12" x14ac:dyDescent="0.2">
      <c r="F125" s="88"/>
      <c r="G125" s="58"/>
      <c r="H125" s="58"/>
      <c r="I125" s="58"/>
      <c r="J125" s="58"/>
      <c r="K125" s="58"/>
      <c r="L125" s="58"/>
    </row>
    <row r="126" spans="1:12" x14ac:dyDescent="0.2">
      <c r="B126" s="5"/>
      <c r="C126" s="5"/>
      <c r="D126" s="5"/>
      <c r="F126" s="88"/>
      <c r="G126" s="58"/>
      <c r="H126" s="58"/>
      <c r="I126" s="58"/>
      <c r="J126" s="58"/>
      <c r="K126" s="58"/>
      <c r="L126" s="58"/>
    </row>
    <row r="127" spans="1:12" x14ac:dyDescent="0.2">
      <c r="A127" s="5"/>
      <c r="F127" s="60"/>
      <c r="G127" s="60"/>
      <c r="H127" s="60"/>
      <c r="I127" s="60"/>
      <c r="J127" s="60"/>
      <c r="K127" s="60"/>
      <c r="L127" s="60"/>
    </row>
    <row r="128" spans="1:12" x14ac:dyDescent="0.2">
      <c r="A128" s="5"/>
    </row>
    <row r="130" spans="1:12" x14ac:dyDescent="0.2">
      <c r="E130" s="21"/>
    </row>
    <row r="131" spans="1:12" ht="12" x14ac:dyDescent="0.25">
      <c r="A131" s="19"/>
      <c r="E131" s="21"/>
    </row>
    <row r="132" spans="1:12" x14ac:dyDescent="0.2">
      <c r="A132" s="5"/>
      <c r="E132" s="21"/>
    </row>
    <row r="133" spans="1:12" x14ac:dyDescent="0.2">
      <c r="A133" s="5"/>
      <c r="E133" s="35"/>
    </row>
    <row r="134" spans="1:12" x14ac:dyDescent="0.2">
      <c r="A134" s="5"/>
      <c r="E134" s="17"/>
    </row>
    <row r="135" spans="1:12" x14ac:dyDescent="0.2">
      <c r="A135" s="5"/>
    </row>
    <row r="137" spans="1:12" x14ac:dyDescent="0.2">
      <c r="G137" s="58"/>
      <c r="H137" s="58"/>
      <c r="I137" s="58"/>
      <c r="J137" s="58"/>
      <c r="K137" s="58"/>
      <c r="L137" s="58"/>
    </row>
    <row r="138" spans="1:12" x14ac:dyDescent="0.2">
      <c r="A138" s="5"/>
    </row>
    <row r="139" spans="1:12" x14ac:dyDescent="0.2">
      <c r="A139" s="5"/>
    </row>
  </sheetData>
  <mergeCells count="4">
    <mergeCell ref="C28:F28"/>
    <mergeCell ref="C101:F101"/>
    <mergeCell ref="C109:F109"/>
    <mergeCell ref="C113:F113"/>
  </mergeCells>
  <pageMargins left="0.74803149606299213" right="0.74803149606299213" top="0.98425196850393704" bottom="0.98425196850393704" header="0.51181102362204722" footer="0.51181102362204722"/>
  <pageSetup paperSize="9" scale="41"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59999389629810485"/>
  </sheetPr>
  <dimension ref="A1:L62"/>
  <sheetViews>
    <sheetView showGridLines="0" topLeftCell="A2" workbookViewId="0">
      <selection activeCell="I51" sqref="I51"/>
    </sheetView>
  </sheetViews>
  <sheetFormatPr defaultRowHeight="11.4" x14ac:dyDescent="0.2"/>
  <cols>
    <col min="2" max="2" width="50.375" style="141" customWidth="1"/>
    <col min="3" max="11" width="20.75" customWidth="1"/>
    <col min="12" max="12" width="46.875" customWidth="1"/>
    <col min="15" max="15" width="13.125" customWidth="1"/>
    <col min="18" max="18" width="17.625" customWidth="1"/>
    <col min="21" max="21" width="1.875" customWidth="1"/>
    <col min="23" max="23" width="12.625" bestFit="1" customWidth="1"/>
    <col min="24" max="24" width="23.75" customWidth="1"/>
  </cols>
  <sheetData>
    <row r="1" spans="1:12" ht="12" thickBot="1" x14ac:dyDescent="0.25">
      <c r="A1" s="138"/>
    </row>
    <row r="2" spans="1:12" ht="13.5" customHeight="1" thickTop="1" thickBot="1" x14ac:dyDescent="0.3">
      <c r="B2" s="167"/>
      <c r="C2" s="163">
        <v>2021</v>
      </c>
      <c r="D2" s="163">
        <f>C2+1</f>
        <v>2022</v>
      </c>
      <c r="E2" s="163">
        <f>D2+1</f>
        <v>2023</v>
      </c>
      <c r="F2" s="163">
        <f>E2+1</f>
        <v>2024</v>
      </c>
      <c r="G2" s="163">
        <f>F2+1</f>
        <v>2025</v>
      </c>
      <c r="H2" s="163">
        <f>G2+1</f>
        <v>2026</v>
      </c>
      <c r="K2" s="294"/>
      <c r="L2" s="139" t="s">
        <v>259</v>
      </c>
    </row>
    <row r="3" spans="1:12" ht="3" customHeight="1" thickTop="1" x14ac:dyDescent="0.2">
      <c r="B3" s="168"/>
      <c r="C3" s="164"/>
      <c r="D3" s="164"/>
      <c r="E3" s="164"/>
      <c r="F3" s="164"/>
      <c r="G3" s="164"/>
      <c r="H3" s="164"/>
      <c r="K3" s="294"/>
      <c r="L3" s="134"/>
    </row>
    <row r="4" spans="1:12" ht="3" customHeight="1" x14ac:dyDescent="0.2">
      <c r="B4" s="169"/>
      <c r="C4" s="165"/>
      <c r="D4" s="165"/>
      <c r="E4" s="165"/>
      <c r="F4" s="165"/>
      <c r="G4" s="165"/>
      <c r="H4" s="165"/>
      <c r="K4" s="294"/>
      <c r="L4" s="135"/>
    </row>
    <row r="5" spans="1:12" ht="3" customHeight="1" thickBot="1" x14ac:dyDescent="0.25">
      <c r="B5" s="170"/>
      <c r="C5" s="165"/>
      <c r="D5" s="165"/>
      <c r="E5" s="165"/>
      <c r="F5" s="165"/>
      <c r="G5" s="165"/>
      <c r="H5" s="165"/>
      <c r="K5" s="294"/>
    </row>
    <row r="6" spans="1:12" ht="13.2" thickTop="1" thickBot="1" x14ac:dyDescent="0.25">
      <c r="B6" s="171" t="s">
        <v>43</v>
      </c>
      <c r="C6" s="165"/>
      <c r="D6" s="165"/>
      <c r="E6" s="165"/>
      <c r="F6" s="165"/>
      <c r="G6" s="165"/>
      <c r="H6" s="165"/>
      <c r="I6" s="17"/>
      <c r="K6" s="294"/>
      <c r="L6" s="4" t="s">
        <v>38</v>
      </c>
    </row>
    <row r="7" spans="1:12" ht="12.6" thickTop="1" thickBot="1" x14ac:dyDescent="0.25">
      <c r="B7" s="172" t="s">
        <v>47</v>
      </c>
      <c r="C7" s="140">
        <v>1</v>
      </c>
      <c r="D7" s="173">
        <f>GEOMEAN(C7,$I$7)</f>
        <v>4.3011626335213133</v>
      </c>
      <c r="E7" s="173">
        <f>GEOMEAN(D7,$I$7)</f>
        <v>8.9202863586403041</v>
      </c>
      <c r="F7" s="173">
        <f>GEOMEAN(E7,$I$7)</f>
        <v>12.846217250025225</v>
      </c>
      <c r="G7" s="173">
        <f>GEOMEAN(F7,$I$7)</f>
        <v>15.416063671555936</v>
      </c>
      <c r="H7" s="173">
        <f>GEOMEAN(G7,$I$7)</f>
        <v>16.887781912488826</v>
      </c>
      <c r="I7" s="61">
        <v>18.5</v>
      </c>
      <c r="K7" s="294"/>
      <c r="L7" s="4" t="s">
        <v>37</v>
      </c>
    </row>
    <row r="8" spans="1:12" ht="12.6" thickTop="1" thickBot="1" x14ac:dyDescent="0.25">
      <c r="B8" s="174" t="s">
        <v>46</v>
      </c>
      <c r="C8" s="140">
        <v>6.6666666666666693E-2</v>
      </c>
      <c r="D8" s="173">
        <f>C8</f>
        <v>6.6666666666666693E-2</v>
      </c>
      <c r="E8" s="173">
        <f>D8</f>
        <v>6.6666666666666693E-2</v>
      </c>
      <c r="F8" s="173">
        <f>E8</f>
        <v>6.6666666666666693E-2</v>
      </c>
      <c r="G8" s="173">
        <f>F8</f>
        <v>6.6666666666666693E-2</v>
      </c>
      <c r="H8" s="173">
        <f>G8</f>
        <v>6.6666666666666693E-2</v>
      </c>
      <c r="K8" s="294"/>
    </row>
    <row r="9" spans="1:12" ht="12.6" thickTop="1" thickBot="1" x14ac:dyDescent="0.25">
      <c r="B9" s="174" t="s">
        <v>48</v>
      </c>
      <c r="C9" s="88">
        <v>100000</v>
      </c>
      <c r="D9" s="165">
        <f>GEOMEAN(C9,$I$9)</f>
        <v>632455.53203367582</v>
      </c>
      <c r="E9" s="165">
        <f>GEOMEAN(D9,$I$9)</f>
        <v>1590541.4575341013</v>
      </c>
      <c r="F9" s="165">
        <f>GEOMEAN(E9,$I$9)</f>
        <v>2522333.4097887226</v>
      </c>
      <c r="G9" s="165">
        <f>GEOMEAN(F9,$I$9)</f>
        <v>3176371.1431687088</v>
      </c>
      <c r="H9" s="165">
        <v>4000000</v>
      </c>
      <c r="I9" s="88">
        <v>4000000</v>
      </c>
      <c r="K9" s="294"/>
    </row>
    <row r="10" spans="1:12" ht="3" customHeight="1" thickTop="1" x14ac:dyDescent="0.2">
      <c r="B10" s="168"/>
      <c r="C10" s="164"/>
      <c r="D10" s="164"/>
      <c r="E10" s="164"/>
      <c r="F10" s="164"/>
      <c r="G10" s="164"/>
      <c r="H10" s="164"/>
      <c r="K10" s="294"/>
    </row>
    <row r="11" spans="1:12" ht="3" customHeight="1" thickBot="1" x14ac:dyDescent="0.25">
      <c r="B11" s="175"/>
      <c r="C11" s="165"/>
      <c r="D11" s="165"/>
      <c r="E11" s="165"/>
      <c r="F11" s="165"/>
      <c r="G11" s="165"/>
      <c r="H11" s="165"/>
    </row>
    <row r="12" spans="1:12" ht="13.2" thickTop="1" thickBot="1" x14ac:dyDescent="0.3">
      <c r="B12" s="176" t="s">
        <v>49</v>
      </c>
      <c r="C12" s="166">
        <f t="shared" ref="C12:H12" si="0">C7*C8*C9</f>
        <v>6666.6666666666697</v>
      </c>
      <c r="D12" s="166">
        <f t="shared" si="0"/>
        <v>181352.94011647263</v>
      </c>
      <c r="E12" s="166">
        <f t="shared" si="0"/>
        <v>945872.35109955433</v>
      </c>
      <c r="F12" s="166">
        <f t="shared" si="0"/>
        <v>2160162.8639428564</v>
      </c>
      <c r="G12" s="166">
        <f t="shared" si="0"/>
        <v>3264475.9858387834</v>
      </c>
      <c r="H12" s="166">
        <f t="shared" si="0"/>
        <v>4503408.5099970214</v>
      </c>
      <c r="I12" s="151"/>
    </row>
    <row r="13" spans="1:12" ht="3" customHeight="1" thickTop="1" x14ac:dyDescent="0.2">
      <c r="B13" s="168"/>
      <c r="C13" s="164"/>
      <c r="D13" s="164"/>
      <c r="E13" s="164"/>
      <c r="F13" s="164"/>
      <c r="G13" s="164"/>
      <c r="H13" s="164"/>
      <c r="I13" s="5"/>
    </row>
    <row r="14" spans="1:12" ht="3" customHeight="1" thickBot="1" x14ac:dyDescent="0.25">
      <c r="B14" s="175"/>
      <c r="C14" s="165"/>
      <c r="D14" s="165"/>
      <c r="E14" s="165"/>
      <c r="F14" s="165"/>
      <c r="G14" s="165"/>
      <c r="H14" s="165"/>
      <c r="I14" s="5"/>
    </row>
    <row r="15" spans="1:12" ht="3" customHeight="1" thickTop="1" thickBot="1" x14ac:dyDescent="0.25">
      <c r="B15" s="170"/>
      <c r="C15" s="165"/>
      <c r="D15" s="165"/>
      <c r="E15" s="165"/>
      <c r="F15" s="165"/>
      <c r="G15" s="165"/>
      <c r="H15" s="165"/>
      <c r="I15" s="5"/>
    </row>
    <row r="16" spans="1:12" ht="13.2" thickTop="1" thickBot="1" x14ac:dyDescent="0.3">
      <c r="B16" s="171" t="s">
        <v>44</v>
      </c>
      <c r="C16" s="166"/>
      <c r="D16" s="166"/>
      <c r="E16" s="166"/>
      <c r="F16" s="166"/>
      <c r="G16" s="166"/>
      <c r="H16" s="166"/>
      <c r="I16" s="5"/>
    </row>
    <row r="17" spans="2:12" ht="12.6" thickTop="1" thickBot="1" x14ac:dyDescent="0.25">
      <c r="B17" s="172" t="s">
        <v>47</v>
      </c>
      <c r="C17" s="140">
        <v>1.7</v>
      </c>
      <c r="D17" s="173">
        <f>D7</f>
        <v>4.3011626335213133</v>
      </c>
      <c r="E17" s="173">
        <f>E7</f>
        <v>8.9202863586403041</v>
      </c>
      <c r="F17" s="173">
        <f>F7</f>
        <v>12.846217250025225</v>
      </c>
      <c r="G17" s="173">
        <f>G7</f>
        <v>15.416063671555936</v>
      </c>
      <c r="H17" s="173">
        <f>H7</f>
        <v>16.887781912488826</v>
      </c>
      <c r="I17" s="5"/>
      <c r="L17" s="4" t="s">
        <v>41</v>
      </c>
    </row>
    <row r="18" spans="2:12" ht="12.6" thickTop="1" thickBot="1" x14ac:dyDescent="0.25">
      <c r="B18" s="174" t="s">
        <v>46</v>
      </c>
      <c r="C18" s="88">
        <v>1</v>
      </c>
      <c r="D18" s="165">
        <f>C18</f>
        <v>1</v>
      </c>
      <c r="E18" s="165">
        <f>D18</f>
        <v>1</v>
      </c>
      <c r="F18" s="165">
        <f>E18</f>
        <v>1</v>
      </c>
      <c r="G18" s="165">
        <f>F18</f>
        <v>1</v>
      </c>
      <c r="H18" s="165">
        <f>G18</f>
        <v>1</v>
      </c>
      <c r="I18" s="5"/>
      <c r="L18" s="4" t="s">
        <v>42</v>
      </c>
    </row>
    <row r="19" spans="2:12" ht="12.6" thickTop="1" thickBot="1" x14ac:dyDescent="0.25">
      <c r="B19" s="174" t="s">
        <v>50</v>
      </c>
      <c r="C19" s="165">
        <f t="shared" ref="C19:H19" si="1">C9*$I$19</f>
        <v>1000</v>
      </c>
      <c r="D19" s="165">
        <f t="shared" si="1"/>
        <v>6324.5553203367581</v>
      </c>
      <c r="E19" s="165">
        <f t="shared" si="1"/>
        <v>15905.414575341014</v>
      </c>
      <c r="F19" s="165">
        <f t="shared" si="1"/>
        <v>25223.334097887226</v>
      </c>
      <c r="G19" s="165">
        <f t="shared" si="1"/>
        <v>31763.71143168709</v>
      </c>
      <c r="H19" s="165">
        <f t="shared" si="1"/>
        <v>40000</v>
      </c>
      <c r="I19" s="77">
        <v>0.01</v>
      </c>
      <c r="L19" s="4" t="s">
        <v>40</v>
      </c>
    </row>
    <row r="20" spans="2:12" ht="3" customHeight="1" thickTop="1" x14ac:dyDescent="0.2">
      <c r="B20" s="168"/>
      <c r="C20" s="164"/>
      <c r="D20" s="164"/>
      <c r="E20" s="164"/>
      <c r="F20" s="164"/>
      <c r="G20" s="164"/>
      <c r="H20" s="164"/>
      <c r="I20" s="5"/>
    </row>
    <row r="21" spans="2:12" ht="3" customHeight="1" thickBot="1" x14ac:dyDescent="0.25">
      <c r="B21" s="175"/>
      <c r="C21" s="165"/>
      <c r="D21" s="165"/>
      <c r="E21" s="165"/>
      <c r="F21" s="165"/>
      <c r="G21" s="165"/>
      <c r="H21" s="165"/>
      <c r="I21" s="5"/>
    </row>
    <row r="22" spans="2:12" ht="13.2" thickTop="1" thickBot="1" x14ac:dyDescent="0.3">
      <c r="B22" s="176" t="s">
        <v>51</v>
      </c>
      <c r="C22" s="166">
        <f t="shared" ref="C22:H22" si="2">C17*C18*C19</f>
        <v>1700</v>
      </c>
      <c r="D22" s="166">
        <f t="shared" si="2"/>
        <v>27202.941017470883</v>
      </c>
      <c r="E22" s="166">
        <f t="shared" si="2"/>
        <v>141880.8526649331</v>
      </c>
      <c r="F22" s="166">
        <f t="shared" si="2"/>
        <v>324024.42959142831</v>
      </c>
      <c r="G22" s="166">
        <f t="shared" si="2"/>
        <v>489671.39787581732</v>
      </c>
      <c r="H22" s="166">
        <f t="shared" si="2"/>
        <v>675511.276499553</v>
      </c>
      <c r="I22" s="151"/>
    </row>
    <row r="23" spans="2:12" ht="3" customHeight="1" thickTop="1" x14ac:dyDescent="0.2">
      <c r="B23" s="168"/>
      <c r="C23" s="164"/>
      <c r="D23" s="164"/>
      <c r="E23" s="164"/>
      <c r="F23" s="164"/>
      <c r="G23" s="164"/>
      <c r="H23" s="164"/>
      <c r="I23" s="5"/>
    </row>
    <row r="24" spans="2:12" ht="3" customHeight="1" x14ac:dyDescent="0.2">
      <c r="B24" s="169"/>
      <c r="C24" s="165"/>
      <c r="D24" s="165"/>
      <c r="E24" s="165"/>
      <c r="F24" s="165"/>
      <c r="G24" s="165"/>
      <c r="H24" s="165"/>
      <c r="I24" s="5"/>
    </row>
    <row r="25" spans="2:12" ht="3" customHeight="1" thickBot="1" x14ac:dyDescent="0.25">
      <c r="B25" s="170"/>
      <c r="C25" s="165"/>
      <c r="D25" s="165"/>
      <c r="E25" s="165"/>
      <c r="F25" s="165"/>
      <c r="G25" s="165"/>
      <c r="H25" s="165"/>
      <c r="I25" s="5"/>
    </row>
    <row r="26" spans="2:12" ht="13.2" thickTop="1" thickBot="1" x14ac:dyDescent="0.25">
      <c r="B26" s="171" t="s">
        <v>45</v>
      </c>
      <c r="C26" s="162"/>
      <c r="D26" s="162"/>
      <c r="E26" s="162"/>
      <c r="F26" s="162"/>
      <c r="G26" s="162"/>
      <c r="H26" s="162"/>
      <c r="I26" s="5"/>
    </row>
    <row r="27" spans="2:12" ht="12.6" thickTop="1" thickBot="1" x14ac:dyDescent="0.25">
      <c r="B27" s="172" t="s">
        <v>47</v>
      </c>
      <c r="C27" s="140">
        <v>1</v>
      </c>
      <c r="D27" s="173">
        <f>D7</f>
        <v>4.3011626335213133</v>
      </c>
      <c r="E27" s="173">
        <f>E7</f>
        <v>8.9202863586403041</v>
      </c>
      <c r="F27" s="173">
        <f>F7</f>
        <v>12.846217250025225</v>
      </c>
      <c r="G27" s="173">
        <f>G7</f>
        <v>15.416063671555936</v>
      </c>
      <c r="H27" s="173">
        <f>H7</f>
        <v>16.887781912488826</v>
      </c>
      <c r="I27" s="5"/>
      <c r="L27" s="4" t="s">
        <v>39</v>
      </c>
    </row>
    <row r="28" spans="2:12" ht="12.6" thickTop="1" thickBot="1" x14ac:dyDescent="0.25">
      <c r="B28" s="174" t="s">
        <v>46</v>
      </c>
      <c r="C28" s="140">
        <f>1/25</f>
        <v>0.04</v>
      </c>
      <c r="D28" s="173">
        <f>C28</f>
        <v>0.04</v>
      </c>
      <c r="E28" s="173">
        <f>D28</f>
        <v>0.04</v>
      </c>
      <c r="F28" s="173">
        <f>E28</f>
        <v>0.04</v>
      </c>
      <c r="G28" s="173">
        <f>F28</f>
        <v>0.04</v>
      </c>
      <c r="H28" s="173">
        <f>G28</f>
        <v>0.04</v>
      </c>
      <c r="I28" s="5"/>
      <c r="L28" s="4"/>
    </row>
    <row r="29" spans="2:12" ht="12.6" thickTop="1" thickBot="1" x14ac:dyDescent="0.25">
      <c r="B29" s="174" t="s">
        <v>50</v>
      </c>
      <c r="C29" s="165">
        <f t="shared" ref="C29:H29" si="3">C9</f>
        <v>100000</v>
      </c>
      <c r="D29" s="165">
        <f t="shared" si="3"/>
        <v>632455.53203367582</v>
      </c>
      <c r="E29" s="165">
        <f t="shared" si="3"/>
        <v>1590541.4575341013</v>
      </c>
      <c r="F29" s="165">
        <f t="shared" si="3"/>
        <v>2522333.4097887226</v>
      </c>
      <c r="G29" s="165">
        <f t="shared" si="3"/>
        <v>3176371.1431687088</v>
      </c>
      <c r="H29" s="165">
        <f t="shared" si="3"/>
        <v>4000000</v>
      </c>
      <c r="I29" s="5"/>
      <c r="L29" s="4"/>
    </row>
    <row r="30" spans="2:12" ht="3" customHeight="1" thickTop="1" x14ac:dyDescent="0.2">
      <c r="B30" s="168"/>
      <c r="C30" s="164"/>
      <c r="D30" s="164"/>
      <c r="E30" s="164"/>
      <c r="F30" s="164"/>
      <c r="G30" s="164"/>
      <c r="H30" s="164"/>
      <c r="I30" s="5"/>
    </row>
    <row r="31" spans="2:12" ht="3" customHeight="1" thickBot="1" x14ac:dyDescent="0.25">
      <c r="B31" s="175"/>
      <c r="C31" s="165"/>
      <c r="D31" s="165"/>
      <c r="E31" s="165"/>
      <c r="F31" s="165"/>
      <c r="G31" s="165"/>
      <c r="H31" s="165"/>
      <c r="I31" s="5"/>
    </row>
    <row r="32" spans="2:12" ht="13.2" thickTop="1" thickBot="1" x14ac:dyDescent="0.3">
      <c r="B32" s="176" t="s">
        <v>52</v>
      </c>
      <c r="C32" s="166">
        <f t="shared" ref="C32:H32" si="4">C27*C28*C29</f>
        <v>4000</v>
      </c>
      <c r="D32" s="166">
        <f t="shared" si="4"/>
        <v>108811.76406988353</v>
      </c>
      <c r="E32" s="166">
        <f t="shared" si="4"/>
        <v>567523.41065973241</v>
      </c>
      <c r="F32" s="166">
        <f t="shared" si="4"/>
        <v>1296097.7183657133</v>
      </c>
      <c r="G32" s="166">
        <f t="shared" si="4"/>
        <v>1958685.591503269</v>
      </c>
      <c r="H32" s="166">
        <f t="shared" si="4"/>
        <v>2702045.1059982125</v>
      </c>
      <c r="I32" s="151"/>
      <c r="K32" s="163" t="s">
        <v>103</v>
      </c>
    </row>
    <row r="33" spans="1:11" ht="3" customHeight="1" thickTop="1" x14ac:dyDescent="0.2">
      <c r="B33" s="168"/>
      <c r="C33" s="164"/>
      <c r="D33" s="164"/>
      <c r="E33" s="164"/>
      <c r="F33" s="164"/>
      <c r="G33" s="164"/>
      <c r="H33" s="164"/>
      <c r="I33" s="5"/>
      <c r="K33" s="164"/>
    </row>
    <row r="34" spans="1:11" ht="3" customHeight="1" thickBot="1" x14ac:dyDescent="0.25">
      <c r="B34" s="169"/>
      <c r="C34" s="165"/>
      <c r="D34" s="165"/>
      <c r="E34" s="165"/>
      <c r="F34" s="165"/>
      <c r="G34" s="165"/>
      <c r="H34" s="165"/>
      <c r="I34" s="5"/>
      <c r="K34" s="165"/>
    </row>
    <row r="35" spans="1:11" ht="12.6" thickTop="1" x14ac:dyDescent="0.25">
      <c r="A35" s="149"/>
      <c r="B35" s="142" t="s">
        <v>53</v>
      </c>
      <c r="C35" s="166">
        <f t="shared" ref="C35:H35" si="5">C32+C22+C12</f>
        <v>12366.66666666667</v>
      </c>
      <c r="D35" s="166">
        <f t="shared" si="5"/>
        <v>317367.64520382707</v>
      </c>
      <c r="E35" s="166">
        <f t="shared" si="5"/>
        <v>1655276.6144242198</v>
      </c>
      <c r="F35" s="166">
        <f t="shared" si="5"/>
        <v>3780285.0118999979</v>
      </c>
      <c r="G35" s="166">
        <f t="shared" si="5"/>
        <v>5712832.9752178695</v>
      </c>
      <c r="H35" s="166">
        <f t="shared" si="5"/>
        <v>7880964.8924947865</v>
      </c>
      <c r="I35" s="150"/>
      <c r="K35" s="204">
        <f>(H35/C35)^(1/6)-1+13%</f>
        <v>2.0635114633551681</v>
      </c>
    </row>
    <row r="37" spans="1:11" ht="12" thickBot="1" x14ac:dyDescent="0.25">
      <c r="A37" s="138"/>
    </row>
    <row r="38" spans="1:11" ht="12" thickTop="1" x14ac:dyDescent="0.2">
      <c r="A38" s="75"/>
    </row>
    <row r="39" spans="1:11" x14ac:dyDescent="0.2">
      <c r="A39" s="75"/>
    </row>
    <row r="40" spans="1:11" x14ac:dyDescent="0.2">
      <c r="A40" s="75"/>
    </row>
    <row r="41" spans="1:11" x14ac:dyDescent="0.2">
      <c r="A41" s="75"/>
    </row>
    <row r="42" spans="1:11" ht="12" thickBot="1" x14ac:dyDescent="0.25">
      <c r="A42" s="75"/>
    </row>
    <row r="43" spans="1:11" ht="13.2" thickTop="1" thickBot="1" x14ac:dyDescent="0.3">
      <c r="B43" s="167"/>
      <c r="C43" s="163">
        <v>2021</v>
      </c>
      <c r="D43" s="163">
        <f>C43+1</f>
        <v>2022</v>
      </c>
      <c r="E43" s="163">
        <f>D43+1</f>
        <v>2023</v>
      </c>
      <c r="F43" s="163">
        <f>E43+1</f>
        <v>2024</v>
      </c>
      <c r="G43" s="163">
        <f>F43+1</f>
        <v>2025</v>
      </c>
      <c r="H43" s="163">
        <f>G43+1</f>
        <v>2026</v>
      </c>
      <c r="K43" s="163" t="s">
        <v>103</v>
      </c>
    </row>
    <row r="44" spans="1:11" ht="3" customHeight="1" thickTop="1" x14ac:dyDescent="0.2">
      <c r="B44" s="168"/>
      <c r="C44" s="164"/>
      <c r="D44" s="164"/>
      <c r="E44" s="164"/>
      <c r="F44" s="164"/>
      <c r="G44" s="164"/>
      <c r="H44" s="164"/>
      <c r="K44" s="164"/>
    </row>
    <row r="45" spans="1:11" ht="3" customHeight="1" x14ac:dyDescent="0.2">
      <c r="B45" s="169"/>
      <c r="C45" s="165"/>
      <c r="D45" s="165"/>
      <c r="E45" s="165"/>
      <c r="F45" s="165"/>
      <c r="G45" s="165"/>
      <c r="H45" s="165"/>
      <c r="K45" s="165"/>
    </row>
    <row r="46" spans="1:11" ht="3" customHeight="1" thickBot="1" x14ac:dyDescent="0.25">
      <c r="B46" s="170"/>
      <c r="C46" s="165"/>
      <c r="D46" s="165"/>
      <c r="E46" s="165"/>
      <c r="F46" s="165"/>
      <c r="G46" s="165"/>
      <c r="H46" s="165"/>
    </row>
    <row r="47" spans="1:11" ht="13.2" thickTop="1" thickBot="1" x14ac:dyDescent="0.25">
      <c r="B47" s="171" t="s">
        <v>57</v>
      </c>
      <c r="C47" s="165"/>
      <c r="D47" s="165"/>
      <c r="E47" s="165"/>
      <c r="F47" s="165"/>
      <c r="G47" s="165"/>
      <c r="H47" s="165"/>
    </row>
    <row r="48" spans="1:11" ht="12.6" thickTop="1" thickBot="1" x14ac:dyDescent="0.25">
      <c r="B48" s="172" t="s">
        <v>54</v>
      </c>
      <c r="C48" s="88">
        <v>100000</v>
      </c>
      <c r="D48" s="165">
        <f>GEOMEAN(C48,$I48)</f>
        <v>200742.62128407112</v>
      </c>
      <c r="E48" s="165">
        <f>GEOMEAN(D48,$I48)</f>
        <v>284419.51155743492</v>
      </c>
      <c r="F48" s="165">
        <f>GEOMEAN(E48,$I48)</f>
        <v>338547.24498859665</v>
      </c>
      <c r="G48" s="165">
        <f>GEOMEAN(F48,$I48)</f>
        <v>369359.46528622322</v>
      </c>
      <c r="H48" s="165">
        <f>GEOMEAN(G48,$I48)</f>
        <v>385801.76241585665</v>
      </c>
      <c r="I48" s="88">
        <v>402976</v>
      </c>
      <c r="K48" s="204">
        <f>(H48/C48)^(1/6)-1</f>
        <v>0.25235475157693821</v>
      </c>
    </row>
    <row r="49" spans="2:11" ht="12.6" thickTop="1" thickBot="1" x14ac:dyDescent="0.25">
      <c r="B49" s="174" t="s">
        <v>55</v>
      </c>
      <c r="C49" s="88">
        <v>245000</v>
      </c>
      <c r="D49" s="165">
        <f>GEOMEAN(C49,$I49)</f>
        <v>343642.25584174017</v>
      </c>
      <c r="E49" s="165">
        <f t="shared" ref="E49:G51" si="6">GEOMEAN(D49,$I49)</f>
        <v>406983.49759630149</v>
      </c>
      <c r="F49" s="165">
        <f t="shared" si="6"/>
        <v>442906.36238534364</v>
      </c>
      <c r="G49" s="165">
        <f t="shared" si="6"/>
        <v>462039.89727050159</v>
      </c>
      <c r="H49" s="165">
        <f>GEOMEAN(G49,$I49)</f>
        <v>471914.43131608272</v>
      </c>
      <c r="I49" s="88">
        <v>482000</v>
      </c>
      <c r="K49" s="204">
        <f>(H49/C49)^(1/5)-1</f>
        <v>0.14009078340811598</v>
      </c>
    </row>
    <row r="50" spans="2:11" ht="12.6" thickTop="1" thickBot="1" x14ac:dyDescent="0.25">
      <c r="B50" s="174" t="s">
        <v>59</v>
      </c>
      <c r="C50" s="88">
        <v>120000</v>
      </c>
      <c r="D50" s="165">
        <f>GEOMEAN(C50,$I$50)</f>
        <v>104613.57464497616</v>
      </c>
      <c r="E50" s="165">
        <f>GEOMEAN(D50,$I$50)</f>
        <v>97676.803836027655</v>
      </c>
      <c r="F50" s="165">
        <f>GEOMEAN(E50,$I$50)</f>
        <v>94382.861314148147</v>
      </c>
      <c r="G50" s="165">
        <f>GEOMEAN(F50,$I$50)</f>
        <v>92777.782641375466</v>
      </c>
      <c r="H50" s="165">
        <f>GEOMEAN(G50,$I$50)</f>
        <v>91985.508515708294</v>
      </c>
      <c r="I50" s="88">
        <v>91200</v>
      </c>
      <c r="K50" s="204">
        <f>(H50/C50)^(1/6)-1</f>
        <v>-4.3342762973863969E-2</v>
      </c>
    </row>
    <row r="51" spans="2:11" ht="12" thickTop="1" x14ac:dyDescent="0.2">
      <c r="B51" s="185" t="s">
        <v>56</v>
      </c>
      <c r="C51" s="88">
        <v>900000</v>
      </c>
      <c r="D51" s="165">
        <f>GEOMEAN(C51,$I51)</f>
        <v>841070.74613257113</v>
      </c>
      <c r="E51" s="165">
        <f t="shared" si="6"/>
        <v>813069.25071619882</v>
      </c>
      <c r="F51" s="165">
        <f t="shared" si="6"/>
        <v>799420.05920725572</v>
      </c>
      <c r="G51" s="165">
        <f t="shared" si="6"/>
        <v>792681.62999838905</v>
      </c>
      <c r="H51" s="165">
        <f>GEOMEAN(G51,$I51)</f>
        <v>789333.74511592614</v>
      </c>
      <c r="I51" s="88">
        <v>786000</v>
      </c>
      <c r="K51" s="204">
        <f>(H51/C51)^(1/6)-1</f>
        <v>-2.1630226654738793E-2</v>
      </c>
    </row>
    <row r="52" spans="2:11" ht="3" customHeight="1" x14ac:dyDescent="0.2">
      <c r="B52" s="168"/>
      <c r="C52" s="164"/>
      <c r="D52" s="164"/>
      <c r="E52" s="164"/>
      <c r="F52" s="164"/>
      <c r="G52" s="164"/>
      <c r="H52" s="164"/>
    </row>
    <row r="53" spans="2:11" ht="3" customHeight="1" x14ac:dyDescent="0.2">
      <c r="B53" s="169"/>
      <c r="C53" s="165"/>
      <c r="D53" s="165"/>
      <c r="E53" s="165"/>
      <c r="F53" s="165"/>
      <c r="G53" s="165"/>
      <c r="H53" s="165"/>
    </row>
    <row r="54" spans="2:11" ht="15.6" customHeight="1" thickBot="1" x14ac:dyDescent="0.3">
      <c r="B54" s="176" t="s">
        <v>58</v>
      </c>
      <c r="C54" s="166">
        <f t="shared" ref="C54:H54" si="7">SUM(C48:C51)</f>
        <v>1365000</v>
      </c>
      <c r="D54" s="166">
        <f t="shared" si="7"/>
        <v>1490069.1979033586</v>
      </c>
      <c r="E54" s="166">
        <f t="shared" si="7"/>
        <v>1602149.0637059628</v>
      </c>
      <c r="F54" s="166">
        <f t="shared" si="7"/>
        <v>1675256.5278953442</v>
      </c>
      <c r="G54" s="166">
        <f t="shared" si="7"/>
        <v>1716858.7751964894</v>
      </c>
      <c r="H54" s="166">
        <f t="shared" si="7"/>
        <v>1739035.4473635738</v>
      </c>
    </row>
    <row r="55" spans="2:11" ht="3" customHeight="1" thickTop="1" x14ac:dyDescent="0.2">
      <c r="B55" s="169"/>
      <c r="C55" s="165"/>
      <c r="D55" s="165"/>
      <c r="E55" s="165"/>
      <c r="F55" s="165"/>
      <c r="G55" s="165"/>
      <c r="H55" s="165"/>
    </row>
    <row r="56" spans="2:11" ht="12" x14ac:dyDescent="0.25">
      <c r="B56" s="142" t="s">
        <v>104</v>
      </c>
      <c r="C56" s="166">
        <f t="shared" ref="C56:H56" si="8">C35-C54</f>
        <v>-1352633.3333333333</v>
      </c>
      <c r="D56" s="166">
        <f t="shared" si="8"/>
        <v>-1172701.5526995314</v>
      </c>
      <c r="E56" s="166">
        <f t="shared" si="8"/>
        <v>53127.550718256971</v>
      </c>
      <c r="F56" s="166">
        <f t="shared" si="8"/>
        <v>2105028.484004654</v>
      </c>
      <c r="G56" s="166">
        <f t="shared" si="8"/>
        <v>3995974.2000213801</v>
      </c>
      <c r="H56" s="166">
        <f t="shared" si="8"/>
        <v>6141929.4451312125</v>
      </c>
    </row>
    <row r="58" spans="2:11" x14ac:dyDescent="0.2">
      <c r="D58">
        <f>D48/D35</f>
        <v>0.63252390190923724</v>
      </c>
      <c r="E58" s="5" t="s">
        <v>77</v>
      </c>
    </row>
    <row r="59" spans="2:11" x14ac:dyDescent="0.2">
      <c r="D59">
        <f>D50/D35</f>
        <v>0.32962898463637924</v>
      </c>
    </row>
    <row r="61" spans="2:11" x14ac:dyDescent="0.2">
      <c r="B61" s="203" t="s">
        <v>87</v>
      </c>
    </row>
    <row r="62" spans="2:11" x14ac:dyDescent="0.2">
      <c r="B62" s="203" t="s">
        <v>88</v>
      </c>
    </row>
  </sheetData>
  <mergeCells count="1">
    <mergeCell ref="K2:K10"/>
  </mergeCells>
  <hyperlinks>
    <hyperlink ref="L7" r:id="rId1" xr:uid="{00000000-0004-0000-0700-000000000000}"/>
    <hyperlink ref="L6" r:id="rId2" xr:uid="{00000000-0004-0000-0700-000001000000}"/>
    <hyperlink ref="L27" r:id="rId3" xr:uid="{00000000-0004-0000-0700-000002000000}"/>
    <hyperlink ref="L19" r:id="rId4" xr:uid="{00000000-0004-0000-0700-000003000000}"/>
    <hyperlink ref="L17" r:id="rId5" xr:uid="{00000000-0004-0000-0700-000004000000}"/>
    <hyperlink ref="L18" r:id="rId6" xr:uid="{00000000-0004-0000-0700-000005000000}"/>
  </hyperlinks>
  <pageMargins left="0.7" right="0.7" top="0.75" bottom="0.75" header="0.3" footer="0.3"/>
  <pageSetup paperSize="9" orientation="portrait" r:id="rId7"/>
  <legacyDrawing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389629810485"/>
  </sheetPr>
  <dimension ref="A1:B12"/>
  <sheetViews>
    <sheetView workbookViewId="0">
      <selection activeCell="A23" sqref="A23"/>
    </sheetView>
  </sheetViews>
  <sheetFormatPr defaultRowHeight="11.4" x14ac:dyDescent="0.2"/>
  <cols>
    <col min="1" max="1" width="99.625" bestFit="1" customWidth="1"/>
    <col min="2" max="2" width="26.125" bestFit="1" customWidth="1"/>
  </cols>
  <sheetData>
    <row r="1" spans="1:2" x14ac:dyDescent="0.2">
      <c r="A1" s="295" t="s">
        <v>189</v>
      </c>
      <c r="B1" s="296"/>
    </row>
    <row r="2" spans="1:2" x14ac:dyDescent="0.2">
      <c r="A2" s="297"/>
      <c r="B2" s="298"/>
    </row>
    <row r="3" spans="1:2" ht="18" x14ac:dyDescent="0.35">
      <c r="A3" s="219" t="s">
        <v>190</v>
      </c>
      <c r="B3" s="220" t="s">
        <v>191</v>
      </c>
    </row>
    <row r="4" spans="1:2" ht="18" x14ac:dyDescent="0.35">
      <c r="A4" s="221" t="s">
        <v>192</v>
      </c>
      <c r="B4" s="222">
        <v>60000</v>
      </c>
    </row>
    <row r="5" spans="1:2" ht="18" x14ac:dyDescent="0.35">
      <c r="A5" s="221" t="s">
        <v>193</v>
      </c>
      <c r="B5" s="222">
        <v>60000</v>
      </c>
    </row>
    <row r="6" spans="1:2" ht="18" x14ac:dyDescent="0.35">
      <c r="A6" s="221" t="s">
        <v>194</v>
      </c>
      <c r="B6" s="222">
        <v>20000</v>
      </c>
    </row>
    <row r="7" spans="1:2" ht="18" x14ac:dyDescent="0.35">
      <c r="A7" s="221" t="s">
        <v>195</v>
      </c>
      <c r="B7" s="222">
        <v>25000</v>
      </c>
    </row>
    <row r="8" spans="1:2" ht="18" x14ac:dyDescent="0.35">
      <c r="A8" s="221" t="s">
        <v>196</v>
      </c>
      <c r="B8" s="222">
        <v>25000</v>
      </c>
    </row>
    <row r="9" spans="1:2" ht="18" x14ac:dyDescent="0.35">
      <c r="A9" s="223" t="s">
        <v>197</v>
      </c>
      <c r="B9" s="222">
        <v>10000</v>
      </c>
    </row>
    <row r="10" spans="1:2" ht="18" x14ac:dyDescent="0.35">
      <c r="A10" s="221" t="s">
        <v>198</v>
      </c>
      <c r="B10" s="222">
        <v>10000</v>
      </c>
    </row>
    <row r="11" spans="1:2" ht="18.600000000000001" thickBot="1" x14ac:dyDescent="0.4">
      <c r="A11" s="223" t="s">
        <v>199</v>
      </c>
      <c r="B11" s="222">
        <v>35000</v>
      </c>
    </row>
    <row r="12" spans="1:2" ht="18.600000000000001" thickBot="1" x14ac:dyDescent="0.4">
      <c r="A12" s="224" t="s">
        <v>200</v>
      </c>
      <c r="B12" s="225">
        <f>SUM(B4:B11)</f>
        <v>245000</v>
      </c>
    </row>
  </sheetData>
  <mergeCells count="1">
    <mergeCell ref="A1: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13</vt:i4>
      </vt:variant>
    </vt:vector>
  </HeadingPairs>
  <TitlesOfParts>
    <vt:vector size="13" baseType="lpstr">
      <vt:lpstr>Assumptions</vt:lpstr>
      <vt:lpstr>Pre-money Valuation</vt:lpstr>
      <vt:lpstr> Cash Flow Statement</vt:lpstr>
      <vt:lpstr>Balance Sheet</vt:lpstr>
      <vt:lpstr>Profit &amp; Loss Account</vt:lpstr>
      <vt:lpstr>Computations 2</vt:lpstr>
      <vt:lpstr>Computations 1</vt:lpstr>
      <vt:lpstr>1.Revenues and Costs of Sales</vt:lpstr>
      <vt:lpstr>2.Launch costs</vt:lpstr>
      <vt:lpstr>3.Annual Costs</vt:lpstr>
      <vt:lpstr>4.Personnel</vt:lpstr>
      <vt:lpstr>5.Investments</vt:lpstr>
      <vt:lpstr>Template</vt:lpstr>
    </vt:vector>
  </TitlesOfParts>
  <Company>Deloitte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Corrado Patierno</dc:creator>
  <cp:lastModifiedBy>Corrado Patierno</cp:lastModifiedBy>
  <cp:lastPrinted>2019-04-25T06:26:32Z</cp:lastPrinted>
  <dcterms:created xsi:type="dcterms:W3CDTF">2016-01-09T15:19:46Z</dcterms:created>
  <dcterms:modified xsi:type="dcterms:W3CDTF">2021-05-19T07:52:07Z</dcterms:modified>
</cp:coreProperties>
</file>