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showInkAnnotation="0"/>
  <mc:AlternateContent xmlns:mc="http://schemas.openxmlformats.org/markup-compatibility/2006">
    <mc:Choice Requires="x15">
      <x15ac:absPath xmlns:x15ac="http://schemas.microsoft.com/office/spreadsheetml/2010/11/ac" url="https://d.docs.live.net/d5ae3c8b3fac9ad3/Documenti/PROGETTI/DITTA_CORRADO/CLIENTI/LME/ERR/BPTradottiENG/"/>
    </mc:Choice>
  </mc:AlternateContent>
  <xr:revisionPtr revIDLastSave="19" documentId="13_ncr:1_{562F2313-641E-4707-B0ED-1ECDE8DB3E65}" xr6:coauthVersionLast="46" xr6:coauthVersionMax="46" xr10:uidLastSave="{681FDACB-E87B-4906-AC76-E71A877D7C61}"/>
  <bookViews>
    <workbookView xWindow="-108" yWindow="-108" windowWidth="33048" windowHeight="21504" tabRatio="582" activeTab="4" xr2:uid="{00000000-000D-0000-FFFF-FFFF00000000}"/>
  </bookViews>
  <sheets>
    <sheet name="Assumptions" sheetId="48" r:id="rId1"/>
    <sheet name=" Cash Flow Statement" sheetId="6" r:id="rId2"/>
    <sheet name="Balance Sheet" sheetId="5" r:id="rId3"/>
    <sheet name="Graphs" sheetId="49" r:id="rId4"/>
    <sheet name="Profit &amp; Loss Account" sheetId="4" r:id="rId5"/>
    <sheet name="Computations 2" sheetId="3" r:id="rId6"/>
    <sheet name="Computations 1" sheetId="28" r:id="rId7"/>
    <sheet name="1.Revenues and Costs of Sales" sheetId="39" r:id="rId8"/>
    <sheet name="2.Launch costs" sheetId="47" r:id="rId9"/>
    <sheet name="3.Annual Costs" sheetId="35" r:id="rId10"/>
    <sheet name="4.Personnel" sheetId="45" r:id="rId11"/>
    <sheet name="5.Investments" sheetId="46" r:id="rId12"/>
    <sheet name="Template" sheetId="1" r:id="rId13"/>
  </sheets>
  <externalReferences>
    <externalReference r:id="rId14"/>
  </externalReferences>
  <definedNames>
    <definedName name="dcDaysInWeek">7</definedName>
    <definedName name="dcDaysInYear">365</definedName>
    <definedName name="dcMthsInQtr">3</definedName>
    <definedName name="dcMthsInYear">12</definedName>
    <definedName name="dcQtrsInYear">4</definedName>
    <definedName name="dcWeeksInYear">52</definedName>
    <definedName name="dlstOnOff">[1]sysConfig!$C$154:$C$155</definedName>
    <definedName name="dlstPrefixSuffix">[1]sysConfig!$C$157:$C$158</definedName>
    <definedName name="dlstYesNo">[1]sysConfig!$C$151:$C$152</definedName>
    <definedName name="sysClientName">[1]sysConfig!$C$16</definedName>
    <definedName name="sysDataSet">[1]sysConfig!$B$7</definedName>
    <definedName name="sysDataSetMajorVer">'[1]Data Info'!$C$16</definedName>
    <definedName name="sysDataSetMinorVer">'[1]Data Info'!$C$17</definedName>
    <definedName name="sysDataSetName">'[1]Data Info'!$C$14</definedName>
    <definedName name="sysDataSetTag">[1]sysConfig!$C$31</definedName>
    <definedName name="sysFileStub">[1]sysConfig!$C$18</definedName>
    <definedName name="sysForecastStart">'[1]Data Info'!$F$25</definedName>
    <definedName name="sysLastSave">[1]sysConfig!$C$28</definedName>
    <definedName name="sysModelName">[1]sysConfig!$C$17</definedName>
    <definedName name="sysModelTitle">[1]sysConfig!$B$1</definedName>
    <definedName name="sysSaveDateFormat">[1]sysConfig!$C$33</definedName>
    <definedName name="sysVerFormat">[1]sysConfig!$C$32</definedName>
    <definedName name="sysVerLogBuild">[1]sysConfig!$C$26</definedName>
    <definedName name="sysVerLogMajor">[1]sysConfig!$C$24</definedName>
    <definedName name="sysVerLogMinor">[1]sysConfig!$C$25</definedName>
    <definedName name="sysVersion">[1]sysConfig!$B$6</definedName>
    <definedName name="sysVersionTag">[1]sysConfig!$C$30</definedName>
    <definedName name="VersNo">0.22</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6" i="35" l="1"/>
  <c r="F37" i="35"/>
  <c r="F38" i="35"/>
  <c r="F39" i="35"/>
  <c r="F40" i="35"/>
  <c r="F41" i="35"/>
  <c r="F35" i="35"/>
  <c r="B42" i="35"/>
  <c r="B37" i="35"/>
  <c r="B36" i="35"/>
  <c r="B35" i="35"/>
  <c r="B41" i="35"/>
  <c r="B40" i="35"/>
  <c r="B39" i="35"/>
  <c r="B38" i="35"/>
  <c r="B22" i="46"/>
  <c r="B23" i="46"/>
  <c r="B21" i="46"/>
  <c r="B20" i="46"/>
  <c r="E24" i="49"/>
  <c r="F24" i="49"/>
  <c r="G24" i="49"/>
  <c r="H24" i="49"/>
  <c r="D24" i="49"/>
  <c r="G55" i="6"/>
  <c r="F55" i="6"/>
  <c r="E55" i="6"/>
  <c r="D55" i="6"/>
  <c r="C55" i="6"/>
  <c r="B55" i="6"/>
  <c r="D309" i="49"/>
  <c r="E309" i="49"/>
  <c r="F309" i="49"/>
  <c r="G309" i="49"/>
  <c r="H309" i="49"/>
  <c r="D289" i="49"/>
  <c r="E289" i="49"/>
  <c r="F289" i="49"/>
  <c r="G289" i="49"/>
  <c r="H289" i="49"/>
  <c r="C289" i="49"/>
  <c r="D288" i="49"/>
  <c r="E288" i="49"/>
  <c r="F288" i="49"/>
  <c r="G288" i="49"/>
  <c r="H288" i="49"/>
  <c r="D266" i="49"/>
  <c r="E266" i="49"/>
  <c r="F266" i="49"/>
  <c r="G266" i="49"/>
  <c r="H266" i="49"/>
  <c r="D247" i="49"/>
  <c r="E247" i="49"/>
  <c r="F247" i="49"/>
  <c r="G247" i="49"/>
  <c r="H247" i="49"/>
  <c r="D227" i="49"/>
  <c r="E227" i="49"/>
  <c r="F227" i="49"/>
  <c r="G227" i="49"/>
  <c r="H227" i="49"/>
  <c r="D206" i="49"/>
  <c r="E206" i="49"/>
  <c r="F206" i="49"/>
  <c r="G206" i="49"/>
  <c r="H206" i="49"/>
  <c r="D144" i="49"/>
  <c r="E144" i="49"/>
  <c r="F144" i="49"/>
  <c r="G144" i="49"/>
  <c r="H144" i="49"/>
  <c r="C187" i="49"/>
  <c r="D145" i="49"/>
  <c r="E145" i="49"/>
  <c r="F145" i="49"/>
  <c r="G145" i="49"/>
  <c r="H145" i="49"/>
  <c r="D146" i="49"/>
  <c r="E146" i="49"/>
  <c r="F146" i="49"/>
  <c r="G146" i="49"/>
  <c r="H146" i="49"/>
  <c r="C145" i="49"/>
  <c r="C164" i="49" s="1"/>
  <c r="C146" i="49"/>
  <c r="C144" i="49"/>
  <c r="C162" i="49" s="1"/>
  <c r="D143" i="49"/>
  <c r="E143" i="49"/>
  <c r="F143" i="49"/>
  <c r="G143" i="49"/>
  <c r="H143" i="49"/>
  <c r="D123" i="49"/>
  <c r="E123" i="49"/>
  <c r="F123" i="49"/>
  <c r="G123" i="49"/>
  <c r="H123" i="49"/>
  <c r="D102" i="49"/>
  <c r="E102" i="49"/>
  <c r="F102" i="49"/>
  <c r="G102" i="49"/>
  <c r="H102" i="49"/>
  <c r="D83" i="49"/>
  <c r="E83" i="49"/>
  <c r="F83" i="49"/>
  <c r="G83" i="49"/>
  <c r="H83" i="49"/>
  <c r="C83" i="49"/>
  <c r="D82" i="49"/>
  <c r="E82" i="49"/>
  <c r="F82" i="49"/>
  <c r="G82" i="49"/>
  <c r="H82" i="49"/>
  <c r="D57" i="49"/>
  <c r="E57" i="49"/>
  <c r="F57" i="49"/>
  <c r="G57" i="49"/>
  <c r="H57" i="49"/>
  <c r="D42" i="49"/>
  <c r="E42" i="49"/>
  <c r="F42" i="49"/>
  <c r="G42" i="49"/>
  <c r="H42" i="49"/>
  <c r="D6" i="49"/>
  <c r="E6" i="49"/>
  <c r="F6" i="49"/>
  <c r="G6" i="49"/>
  <c r="H6" i="49"/>
  <c r="C35" i="4"/>
  <c r="D35" i="4"/>
  <c r="E35" i="4"/>
  <c r="F35" i="4"/>
  <c r="G35" i="4"/>
  <c r="B12" i="6"/>
  <c r="B48" i="6"/>
  <c r="C62" i="4"/>
  <c r="D62" i="4"/>
  <c r="E62" i="4"/>
  <c r="F62" i="4"/>
  <c r="G62" i="4"/>
  <c r="C12" i="5"/>
  <c r="B12" i="4"/>
  <c r="C19" i="39"/>
  <c r="D7" i="39"/>
  <c r="D17" i="39"/>
  <c r="K49" i="39"/>
  <c r="E6" i="45"/>
  <c r="F6" i="45"/>
  <c r="E46" i="45"/>
  <c r="H20" i="4"/>
  <c r="I20" i="4"/>
  <c r="J20" i="4"/>
  <c r="K20" i="4"/>
  <c r="L20" i="4"/>
  <c r="M20" i="4"/>
  <c r="N20" i="4"/>
  <c r="G70" i="28"/>
  <c r="G71" i="28"/>
  <c r="F107" i="3"/>
  <c r="C46" i="5"/>
  <c r="C10" i="46"/>
  <c r="H61" i="28"/>
  <c r="B12" i="47"/>
  <c r="G124" i="3"/>
  <c r="D52" i="5"/>
  <c r="H124" i="3"/>
  <c r="E52" i="5"/>
  <c r="I124" i="3"/>
  <c r="F52" i="5"/>
  <c r="J124" i="3"/>
  <c r="G52" i="5"/>
  <c r="K124" i="3"/>
  <c r="H52" i="5"/>
  <c r="F124" i="3"/>
  <c r="C52" i="5"/>
  <c r="B41" i="6"/>
  <c r="F104" i="3"/>
  <c r="F103" i="3"/>
  <c r="C42" i="5"/>
  <c r="F105" i="3"/>
  <c r="C44" i="5"/>
  <c r="F58" i="3"/>
  <c r="F57" i="3"/>
  <c r="F59" i="3"/>
  <c r="F62" i="3"/>
  <c r="G53" i="3"/>
  <c r="H53" i="3"/>
  <c r="I53" i="3"/>
  <c r="J53" i="3"/>
  <c r="K53" i="3"/>
  <c r="G45" i="3"/>
  <c r="H45" i="3"/>
  <c r="I45" i="3"/>
  <c r="J45" i="3"/>
  <c r="K45" i="3"/>
  <c r="F41" i="3"/>
  <c r="F40" i="3"/>
  <c r="B76" i="4"/>
  <c r="B20" i="6"/>
  <c r="H53" i="4"/>
  <c r="I53" i="4"/>
  <c r="J53" i="4"/>
  <c r="K53" i="4"/>
  <c r="L53" i="4"/>
  <c r="M53" i="4"/>
  <c r="N53" i="4"/>
  <c r="G109" i="28"/>
  <c r="H109" i="28"/>
  <c r="G101" i="28"/>
  <c r="G76" i="28"/>
  <c r="G98" i="28"/>
  <c r="H72" i="28"/>
  <c r="I72" i="28"/>
  <c r="J72" i="28"/>
  <c r="K72" i="28"/>
  <c r="L72" i="28"/>
  <c r="G72" i="28"/>
  <c r="G73" i="28"/>
  <c r="H73" i="28"/>
  <c r="I73" i="28"/>
  <c r="J73" i="28"/>
  <c r="K73" i="28"/>
  <c r="L73" i="28"/>
  <c r="A76" i="28"/>
  <c r="A74" i="28"/>
  <c r="A72" i="28"/>
  <c r="G61" i="28"/>
  <c r="G62" i="28"/>
  <c r="G59" i="28"/>
  <c r="G55" i="28"/>
  <c r="F70" i="3"/>
  <c r="H59" i="28"/>
  <c r="J59" i="28"/>
  <c r="K59" i="28"/>
  <c r="L59" i="28"/>
  <c r="A61" i="28"/>
  <c r="I32" i="28"/>
  <c r="D42" i="4"/>
  <c r="H33" i="28"/>
  <c r="C43" i="4"/>
  <c r="H35" i="28"/>
  <c r="C45" i="4"/>
  <c r="K41" i="28"/>
  <c r="F50" i="4"/>
  <c r="L41" i="28"/>
  <c r="G50" i="4"/>
  <c r="G33" i="28"/>
  <c r="B43" i="4"/>
  <c r="G34" i="28"/>
  <c r="B44" i="4"/>
  <c r="G35" i="28"/>
  <c r="B45" i="4"/>
  <c r="G36" i="28"/>
  <c r="B46" i="4"/>
  <c r="G37" i="28"/>
  <c r="F26" i="3"/>
  <c r="G38" i="28"/>
  <c r="B47" i="4"/>
  <c r="G39" i="28"/>
  <c r="B48" i="4"/>
  <c r="G40" i="28"/>
  <c r="B49" i="4"/>
  <c r="G41" i="28"/>
  <c r="B50" i="4"/>
  <c r="G32" i="28"/>
  <c r="H20" i="28"/>
  <c r="I20" i="28"/>
  <c r="D27" i="4"/>
  <c r="J20" i="28"/>
  <c r="E27" i="4"/>
  <c r="K20" i="28"/>
  <c r="F27" i="4"/>
  <c r="L20" i="28"/>
  <c r="G27" i="4"/>
  <c r="H21" i="28"/>
  <c r="C28" i="4"/>
  <c r="I21" i="28"/>
  <c r="D28" i="4"/>
  <c r="J21" i="28"/>
  <c r="K21" i="28"/>
  <c r="F28" i="4"/>
  <c r="L21" i="28"/>
  <c r="G28" i="4"/>
  <c r="G21" i="28"/>
  <c r="B28" i="4"/>
  <c r="G20" i="28"/>
  <c r="B27" i="4"/>
  <c r="H19" i="28"/>
  <c r="C26" i="4"/>
  <c r="I19" i="28"/>
  <c r="D26" i="4"/>
  <c r="J19" i="28"/>
  <c r="E26" i="4"/>
  <c r="K19" i="28"/>
  <c r="L19" i="28"/>
  <c r="G19" i="28"/>
  <c r="B26" i="4"/>
  <c r="H15" i="4"/>
  <c r="I15" i="4"/>
  <c r="J15" i="4"/>
  <c r="K15" i="4"/>
  <c r="L15" i="4"/>
  <c r="M15" i="4"/>
  <c r="N15" i="4"/>
  <c r="E6" i="35"/>
  <c r="F6" i="35"/>
  <c r="C6" i="35"/>
  <c r="H32" i="28"/>
  <c r="C42" i="4"/>
  <c r="G57" i="45"/>
  <c r="G58" i="45"/>
  <c r="G59" i="45"/>
  <c r="H57" i="45"/>
  <c r="H60" i="45"/>
  <c r="F57" i="45"/>
  <c r="E66" i="45"/>
  <c r="E47" i="45"/>
  <c r="F47" i="45"/>
  <c r="E37" i="45"/>
  <c r="F37" i="45"/>
  <c r="G37" i="45"/>
  <c r="E27" i="45"/>
  <c r="F27" i="45"/>
  <c r="E7" i="45"/>
  <c r="F7" i="45"/>
  <c r="F17" i="45"/>
  <c r="G17" i="45"/>
  <c r="H17" i="45"/>
  <c r="E17" i="45"/>
  <c r="E20" i="45"/>
  <c r="K50" i="39"/>
  <c r="K51" i="39"/>
  <c r="K48" i="39"/>
  <c r="B4" i="46"/>
  <c r="C4" i="46"/>
  <c r="D4" i="46"/>
  <c r="E4" i="46"/>
  <c r="F4" i="46"/>
  <c r="G4" i="46"/>
  <c r="E63" i="45"/>
  <c r="D63" i="45"/>
  <c r="D76" i="45"/>
  <c r="E59" i="45"/>
  <c r="H58" i="45"/>
  <c r="H59" i="45"/>
  <c r="E58" i="45"/>
  <c r="D58" i="45"/>
  <c r="D59" i="45"/>
  <c r="D80" i="45"/>
  <c r="H25" i="28"/>
  <c r="C68" i="45"/>
  <c r="D68" i="45"/>
  <c r="D69" i="45"/>
  <c r="D70" i="45"/>
  <c r="D73" i="45"/>
  <c r="D23" i="45"/>
  <c r="C23" i="45"/>
  <c r="E18" i="45"/>
  <c r="E19" i="45"/>
  <c r="D18" i="45"/>
  <c r="D19" i="45"/>
  <c r="C18" i="45"/>
  <c r="C19" i="45"/>
  <c r="D33" i="45"/>
  <c r="D28" i="45"/>
  <c r="D29" i="45"/>
  <c r="D2" i="45"/>
  <c r="E2" i="45"/>
  <c r="F2" i="45"/>
  <c r="G2" i="45"/>
  <c r="H2" i="45"/>
  <c r="E48" i="45"/>
  <c r="D43" i="45"/>
  <c r="D38" i="45"/>
  <c r="D39" i="45"/>
  <c r="D40" i="45"/>
  <c r="D13" i="45"/>
  <c r="D8" i="45"/>
  <c r="D10" i="45"/>
  <c r="D9" i="45"/>
  <c r="C13" i="45"/>
  <c r="E60" i="45"/>
  <c r="C20" i="45"/>
  <c r="D53" i="45"/>
  <c r="D48" i="45"/>
  <c r="D49" i="45"/>
  <c r="D50" i="45"/>
  <c r="C8" i="45"/>
  <c r="C9" i="45"/>
  <c r="C10" i="45"/>
  <c r="B4" i="35"/>
  <c r="C4" i="35"/>
  <c r="D4" i="35"/>
  <c r="E4" i="35"/>
  <c r="F4" i="35"/>
  <c r="G4" i="35"/>
  <c r="D50" i="39"/>
  <c r="E50" i="39"/>
  <c r="F50" i="39"/>
  <c r="G50" i="39"/>
  <c r="H50" i="39"/>
  <c r="C54" i="39"/>
  <c r="D49" i="39"/>
  <c r="E49" i="39"/>
  <c r="F49" i="39"/>
  <c r="G49" i="39"/>
  <c r="H49" i="39"/>
  <c r="D51" i="39"/>
  <c r="E51" i="39"/>
  <c r="F51" i="39"/>
  <c r="G51" i="39"/>
  <c r="H51" i="39"/>
  <c r="D48" i="39"/>
  <c r="E48" i="39"/>
  <c r="F48" i="39"/>
  <c r="G48" i="39"/>
  <c r="H48" i="39"/>
  <c r="D43" i="39"/>
  <c r="E43" i="39"/>
  <c r="F43" i="39"/>
  <c r="G43" i="39"/>
  <c r="H43" i="39"/>
  <c r="C29" i="39"/>
  <c r="C32" i="39"/>
  <c r="C28" i="39"/>
  <c r="D28" i="39"/>
  <c r="E28" i="39"/>
  <c r="F28" i="39"/>
  <c r="G28" i="39"/>
  <c r="H28" i="39"/>
  <c r="D18" i="39"/>
  <c r="E18" i="39"/>
  <c r="F18" i="39"/>
  <c r="G18" i="39"/>
  <c r="H18" i="39"/>
  <c r="C12" i="39"/>
  <c r="B18" i="4"/>
  <c r="D9" i="39"/>
  <c r="D29" i="39"/>
  <c r="D32" i="39"/>
  <c r="H19" i="39"/>
  <c r="H22" i="39"/>
  <c r="G19" i="4"/>
  <c r="D8" i="39"/>
  <c r="E8" i="39"/>
  <c r="F8" i="39"/>
  <c r="G8" i="39"/>
  <c r="H8" i="39"/>
  <c r="D54" i="39"/>
  <c r="E54" i="39"/>
  <c r="C22" i="39"/>
  <c r="B19" i="4"/>
  <c r="H29" i="39"/>
  <c r="H32" i="39"/>
  <c r="F54" i="39"/>
  <c r="G54" i="39"/>
  <c r="H54" i="39"/>
  <c r="D2" i="39"/>
  <c r="E2" i="39"/>
  <c r="F2" i="39"/>
  <c r="G2" i="39"/>
  <c r="H2" i="39"/>
  <c r="C109" i="3"/>
  <c r="E119" i="3"/>
  <c r="F2" i="1"/>
  <c r="G2" i="1"/>
  <c r="H2" i="1"/>
  <c r="I2" i="1"/>
  <c r="J2" i="1"/>
  <c r="K2" i="1"/>
  <c r="L2" i="1"/>
  <c r="M2" i="1"/>
  <c r="N2" i="1"/>
  <c r="O2" i="1"/>
  <c r="P2" i="1"/>
  <c r="Q2" i="1"/>
  <c r="R2" i="1"/>
  <c r="S2" i="1"/>
  <c r="T2" i="1"/>
  <c r="U2" i="1"/>
  <c r="V2" i="1"/>
  <c r="A3" i="1"/>
  <c r="H2" i="28"/>
  <c r="I2" i="28"/>
  <c r="J2" i="28"/>
  <c r="K2" i="28"/>
  <c r="L2" i="28"/>
  <c r="A3" i="28"/>
  <c r="D85" i="28"/>
  <c r="G2" i="3"/>
  <c r="H2" i="3"/>
  <c r="I2" i="3"/>
  <c r="J2" i="3"/>
  <c r="K2" i="3"/>
  <c r="A3" i="3"/>
  <c r="F32" i="3"/>
  <c r="B70" i="4"/>
  <c r="B21" i="6"/>
  <c r="G32" i="3"/>
  <c r="C70" i="4"/>
  <c r="C21" i="6"/>
  <c r="H32" i="3"/>
  <c r="D70" i="4"/>
  <c r="D21" i="6"/>
  <c r="I32" i="3"/>
  <c r="E70" i="4"/>
  <c r="E21" i="6"/>
  <c r="J32" i="3"/>
  <c r="F70" i="4"/>
  <c r="F21" i="6"/>
  <c r="K32" i="3"/>
  <c r="H70" i="4"/>
  <c r="G70" i="4"/>
  <c r="G21" i="6"/>
  <c r="I70" i="4"/>
  <c r="J70" i="4"/>
  <c r="K70" i="4"/>
  <c r="L70" i="4"/>
  <c r="M70" i="4"/>
  <c r="N70" i="4"/>
  <c r="F84" i="3"/>
  <c r="G84" i="3"/>
  <c r="H84" i="3"/>
  <c r="I84" i="3"/>
  <c r="J84" i="3"/>
  <c r="K84" i="3"/>
  <c r="F89" i="3"/>
  <c r="G89" i="3"/>
  <c r="H89" i="3"/>
  <c r="I89" i="3"/>
  <c r="J89" i="3"/>
  <c r="K89" i="3"/>
  <c r="G113" i="3"/>
  <c r="H113" i="3"/>
  <c r="I113" i="3"/>
  <c r="J113" i="3"/>
  <c r="K113" i="3"/>
  <c r="G114" i="3"/>
  <c r="H114" i="3"/>
  <c r="I114" i="3"/>
  <c r="J114" i="3"/>
  <c r="K114" i="3"/>
  <c r="C2" i="4"/>
  <c r="D2" i="4" s="1"/>
  <c r="D12" i="4" s="1"/>
  <c r="A3" i="4"/>
  <c r="D2" i="5"/>
  <c r="D12" i="5"/>
  <c r="A3" i="5"/>
  <c r="C2" i="6"/>
  <c r="C12" i="6"/>
  <c r="A3" i="6"/>
  <c r="I50" i="4"/>
  <c r="I43" i="4"/>
  <c r="I49" i="4"/>
  <c r="G60" i="45"/>
  <c r="F58" i="45"/>
  <c r="E50" i="45"/>
  <c r="G47" i="45"/>
  <c r="F48" i="45"/>
  <c r="F49" i="45"/>
  <c r="E49" i="45"/>
  <c r="H18" i="45"/>
  <c r="H19" i="45"/>
  <c r="F18" i="45"/>
  <c r="G18" i="45"/>
  <c r="D20" i="45"/>
  <c r="I27" i="4"/>
  <c r="J43" i="4"/>
  <c r="J50" i="4"/>
  <c r="I46" i="4"/>
  <c r="J49" i="4"/>
  <c r="K27" i="4"/>
  <c r="J27" i="4"/>
  <c r="I26" i="4"/>
  <c r="I23" i="4"/>
  <c r="I56" i="4" s="1"/>
  <c r="L27" i="4"/>
  <c r="F60" i="45"/>
  <c r="F59" i="45"/>
  <c r="F50" i="45"/>
  <c r="H47" i="45"/>
  <c r="G48" i="45"/>
  <c r="G49" i="45"/>
  <c r="F19" i="45"/>
  <c r="F20" i="45"/>
  <c r="G19" i="45"/>
  <c r="G20" i="45"/>
  <c r="H20" i="45"/>
  <c r="I47" i="4"/>
  <c r="I44" i="4"/>
  <c r="I45" i="4"/>
  <c r="K49" i="4"/>
  <c r="I42" i="4"/>
  <c r="I39" i="4"/>
  <c r="I48" i="4"/>
  <c r="K50" i="4"/>
  <c r="J46" i="4"/>
  <c r="K43" i="4"/>
  <c r="J26" i="4"/>
  <c r="J23" i="4"/>
  <c r="J56" i="4" s="1"/>
  <c r="J65" i="4" s="1"/>
  <c r="M27" i="4"/>
  <c r="N27" i="4"/>
  <c r="H48" i="45"/>
  <c r="H49" i="45"/>
  <c r="G50" i="45"/>
  <c r="J47" i="4"/>
  <c r="J44" i="4"/>
  <c r="J45" i="4"/>
  <c r="K46" i="4"/>
  <c r="J48" i="4"/>
  <c r="L50" i="4"/>
  <c r="J39" i="4"/>
  <c r="J42" i="4"/>
  <c r="L49" i="4"/>
  <c r="L43" i="4"/>
  <c r="I31" i="4"/>
  <c r="K26" i="4"/>
  <c r="K23" i="4"/>
  <c r="K56" i="4" s="1"/>
  <c r="K60" i="4"/>
  <c r="M60" i="4"/>
  <c r="H50" i="45"/>
  <c r="K47" i="4"/>
  <c r="I61" i="4"/>
  <c r="K44" i="4"/>
  <c r="K45" i="4"/>
  <c r="M50" i="4"/>
  <c r="N50" i="4"/>
  <c r="L46" i="4"/>
  <c r="K42" i="4"/>
  <c r="K39" i="4"/>
  <c r="K48" i="4"/>
  <c r="N43" i="4"/>
  <c r="M43" i="4"/>
  <c r="M49" i="4"/>
  <c r="N49" i="4"/>
  <c r="J31" i="4"/>
  <c r="L26" i="4"/>
  <c r="L23" i="4"/>
  <c r="L56" i="4" s="1"/>
  <c r="L60" i="4"/>
  <c r="N60" i="4"/>
  <c r="L47" i="4"/>
  <c r="J61" i="4"/>
  <c r="L44" i="4"/>
  <c r="L45" i="4"/>
  <c r="L39" i="4"/>
  <c r="L42" i="4"/>
  <c r="M46" i="4"/>
  <c r="N46" i="4"/>
  <c r="L48" i="4"/>
  <c r="K31" i="4"/>
  <c r="M26" i="4"/>
  <c r="M23" i="4"/>
  <c r="M56" i="4"/>
  <c r="N26" i="4"/>
  <c r="N23" i="4"/>
  <c r="N56" i="4" s="1"/>
  <c r="N65" i="4" s="1"/>
  <c r="K61" i="4"/>
  <c r="L61" i="4"/>
  <c r="M47" i="4"/>
  <c r="N47" i="4"/>
  <c r="N44" i="4"/>
  <c r="M44" i="4"/>
  <c r="M45" i="4"/>
  <c r="N45" i="4"/>
  <c r="M42" i="4"/>
  <c r="M39" i="4"/>
  <c r="M48" i="4"/>
  <c r="L31" i="4"/>
  <c r="N48" i="4"/>
  <c r="N39" i="4"/>
  <c r="N42" i="4"/>
  <c r="M31" i="4"/>
  <c r="M61" i="4"/>
  <c r="N31" i="4"/>
  <c r="J60" i="4"/>
  <c r="I60" i="4"/>
  <c r="N61" i="4"/>
  <c r="I69" i="4"/>
  <c r="J69" i="4"/>
  <c r="I76" i="4"/>
  <c r="K69" i="4"/>
  <c r="J76" i="4"/>
  <c r="L69" i="4"/>
  <c r="K76" i="4"/>
  <c r="M69" i="4"/>
  <c r="L76" i="4"/>
  <c r="N69" i="4"/>
  <c r="M76" i="4"/>
  <c r="N76" i="4"/>
  <c r="G18" i="28"/>
  <c r="F19" i="3"/>
  <c r="H27" i="4"/>
  <c r="H69" i="4"/>
  <c r="F8" i="45"/>
  <c r="F9" i="45"/>
  <c r="G7" i="45"/>
  <c r="E8" i="45"/>
  <c r="E9" i="45"/>
  <c r="E10" i="45"/>
  <c r="F28" i="45"/>
  <c r="F29" i="45"/>
  <c r="G27" i="45"/>
  <c r="E28" i="45"/>
  <c r="E29" i="45"/>
  <c r="D79" i="45"/>
  <c r="H24" i="28"/>
  <c r="E30" i="45"/>
  <c r="D30" i="45"/>
  <c r="H37" i="45"/>
  <c r="G38" i="45"/>
  <c r="G39" i="45"/>
  <c r="E38" i="45"/>
  <c r="F38" i="45"/>
  <c r="F39" i="45"/>
  <c r="I18" i="28"/>
  <c r="F26" i="4"/>
  <c r="L18" i="28"/>
  <c r="K18" i="28"/>
  <c r="J18" i="28"/>
  <c r="E28" i="4"/>
  <c r="H19" i="3"/>
  <c r="H26" i="4"/>
  <c r="G26" i="4"/>
  <c r="H18" i="28"/>
  <c r="C27" i="4"/>
  <c r="B53" i="4"/>
  <c r="G60" i="28"/>
  <c r="H7" i="45"/>
  <c r="G8" i="45"/>
  <c r="G9" i="45"/>
  <c r="F10" i="45"/>
  <c r="H27" i="45"/>
  <c r="G28" i="45"/>
  <c r="G29" i="45"/>
  <c r="F30" i="45"/>
  <c r="E39" i="45"/>
  <c r="E40" i="45"/>
  <c r="F40" i="45"/>
  <c r="H38" i="45"/>
  <c r="H39" i="45"/>
  <c r="G40" i="45"/>
  <c r="I19" i="3"/>
  <c r="G19" i="3"/>
  <c r="J19" i="3"/>
  <c r="K19" i="3"/>
  <c r="H8" i="45"/>
  <c r="H9" i="45"/>
  <c r="H10" i="45"/>
  <c r="G10" i="45"/>
  <c r="G30" i="45"/>
  <c r="H28" i="45"/>
  <c r="H29" i="45"/>
  <c r="H40" i="45"/>
  <c r="H30" i="45"/>
  <c r="F46" i="45"/>
  <c r="E53" i="45"/>
  <c r="F13" i="45"/>
  <c r="G6" i="45"/>
  <c r="E16" i="45"/>
  <c r="E26" i="45"/>
  <c r="F56" i="45"/>
  <c r="E13" i="45"/>
  <c r="E36" i="45"/>
  <c r="C34" i="4"/>
  <c r="D60" i="45"/>
  <c r="D81" i="45"/>
  <c r="H26" i="28"/>
  <c r="H113" i="28"/>
  <c r="H114" i="28"/>
  <c r="F53" i="45"/>
  <c r="G46" i="45"/>
  <c r="E23" i="45"/>
  <c r="F16" i="45"/>
  <c r="E33" i="45"/>
  <c r="F26" i="45"/>
  <c r="D10" i="46"/>
  <c r="I61" i="28"/>
  <c r="F36" i="45"/>
  <c r="E43" i="45"/>
  <c r="H6" i="45"/>
  <c r="G13" i="45"/>
  <c r="G56" i="45"/>
  <c r="F63" i="45"/>
  <c r="H23" i="28"/>
  <c r="G22" i="3"/>
  <c r="G51" i="3"/>
  <c r="G63" i="45"/>
  <c r="H56" i="45"/>
  <c r="H63" i="45"/>
  <c r="H13" i="45"/>
  <c r="F33" i="45"/>
  <c r="G26" i="45"/>
  <c r="G16" i="45"/>
  <c r="F23" i="45"/>
  <c r="E10" i="46"/>
  <c r="J61" i="28"/>
  <c r="G36" i="45"/>
  <c r="F43" i="45"/>
  <c r="H46" i="45"/>
  <c r="H53" i="45"/>
  <c r="G53" i="45"/>
  <c r="G33" i="45"/>
  <c r="H26" i="45"/>
  <c r="H33" i="45"/>
  <c r="G43" i="45"/>
  <c r="H36" i="45"/>
  <c r="H43" i="45"/>
  <c r="H16" i="45"/>
  <c r="G23" i="45"/>
  <c r="F10" i="46"/>
  <c r="K61" i="28"/>
  <c r="H23" i="45"/>
  <c r="G10" i="46"/>
  <c r="L61" i="28"/>
  <c r="C48" i="45"/>
  <c r="C73" i="45"/>
  <c r="H71" i="28"/>
  <c r="I71" i="28"/>
  <c r="J71" i="28"/>
  <c r="K71" i="28"/>
  <c r="E7" i="39"/>
  <c r="E27" i="39"/>
  <c r="D27" i="39"/>
  <c r="F7" i="39"/>
  <c r="E17" i="39"/>
  <c r="F17" i="39"/>
  <c r="G7" i="39"/>
  <c r="F27" i="39"/>
  <c r="G17" i="39"/>
  <c r="H7" i="39"/>
  <c r="G27" i="39"/>
  <c r="H12" i="39"/>
  <c r="G18" i="4"/>
  <c r="H17" i="39"/>
  <c r="H27" i="39"/>
  <c r="D12" i="39"/>
  <c r="C18" i="4"/>
  <c r="H35" i="39"/>
  <c r="G20" i="4"/>
  <c r="B20" i="4"/>
  <c r="C35" i="39"/>
  <c r="C20" i="4"/>
  <c r="E9" i="39"/>
  <c r="D19" i="39"/>
  <c r="D22" i="39"/>
  <c r="C19" i="4"/>
  <c r="H56" i="39"/>
  <c r="L13" i="28"/>
  <c r="G12" i="35"/>
  <c r="L38" i="28"/>
  <c r="G13" i="35"/>
  <c r="L39" i="28"/>
  <c r="G8" i="46"/>
  <c r="L74" i="28"/>
  <c r="G8" i="35"/>
  <c r="L34" i="28"/>
  <c r="G44" i="4"/>
  <c r="G7" i="35"/>
  <c r="L33" i="28"/>
  <c r="G9" i="46"/>
  <c r="L76" i="28"/>
  <c r="G14" i="35"/>
  <c r="L40" i="28"/>
  <c r="H49" i="4"/>
  <c r="G9" i="35"/>
  <c r="L35" i="28"/>
  <c r="H45" i="4"/>
  <c r="G10" i="35"/>
  <c r="L36" i="28"/>
  <c r="G46" i="4"/>
  <c r="K35" i="39"/>
  <c r="E67" i="45"/>
  <c r="F67" i="45"/>
  <c r="F68" i="45"/>
  <c r="G11" i="35"/>
  <c r="L37" i="28"/>
  <c r="F9" i="39"/>
  <c r="E12" i="39"/>
  <c r="D18" i="4"/>
  <c r="E19" i="39"/>
  <c r="E22" i="39"/>
  <c r="D19" i="4"/>
  <c r="E29" i="39"/>
  <c r="E32" i="39"/>
  <c r="D35" i="39"/>
  <c r="E73" i="45"/>
  <c r="E76" i="45"/>
  <c r="B8" i="46"/>
  <c r="G74" i="28"/>
  <c r="C56" i="39"/>
  <c r="G13" i="28"/>
  <c r="G67" i="45"/>
  <c r="F73" i="45"/>
  <c r="F76" i="45"/>
  <c r="L96" i="28"/>
  <c r="K15" i="3"/>
  <c r="L83" i="28"/>
  <c r="E68" i="45"/>
  <c r="C13" i="35"/>
  <c r="H39" i="28"/>
  <c r="C48" i="4"/>
  <c r="C8" i="35"/>
  <c r="H34" i="28"/>
  <c r="C44" i="4"/>
  <c r="D59" i="39"/>
  <c r="C8" i="46"/>
  <c r="H74" i="28"/>
  <c r="D58" i="39"/>
  <c r="C9" i="46"/>
  <c r="H76" i="28"/>
  <c r="C10" i="35"/>
  <c r="H36" i="28"/>
  <c r="C46" i="4"/>
  <c r="C14" i="35"/>
  <c r="H40" i="28"/>
  <c r="C15" i="35"/>
  <c r="H41" i="28"/>
  <c r="C50" i="4"/>
  <c r="C11" i="35"/>
  <c r="H37" i="28"/>
  <c r="G26" i="3"/>
  <c r="H13" i="28"/>
  <c r="C12" i="35"/>
  <c r="H38" i="28"/>
  <c r="C47" i="4"/>
  <c r="D56" i="39"/>
  <c r="D20" i="4"/>
  <c r="E35" i="39"/>
  <c r="G75" i="28"/>
  <c r="G83" i="28"/>
  <c r="F15" i="3"/>
  <c r="G96" i="28"/>
  <c r="F12" i="39"/>
  <c r="E18" i="4"/>
  <c r="G9" i="39"/>
  <c r="F19" i="39"/>
  <c r="F22" i="39"/>
  <c r="E19" i="4"/>
  <c r="F29" i="39"/>
  <c r="F32" i="39"/>
  <c r="F79" i="45"/>
  <c r="J24" i="28"/>
  <c r="F69" i="45"/>
  <c r="G68" i="45"/>
  <c r="H67" i="45"/>
  <c r="G73" i="45"/>
  <c r="G76" i="45"/>
  <c r="E69" i="45"/>
  <c r="E79" i="45"/>
  <c r="I24" i="28"/>
  <c r="D34" i="4"/>
  <c r="K80" i="3"/>
  <c r="L86" i="28"/>
  <c r="K83" i="3"/>
  <c r="H23" i="5"/>
  <c r="D13" i="35"/>
  <c r="I39" i="28"/>
  <c r="D8" i="35"/>
  <c r="I34" i="28"/>
  <c r="D44" i="4"/>
  <c r="D7" i="35"/>
  <c r="I33" i="28"/>
  <c r="D43" i="4"/>
  <c r="D8" i="46"/>
  <c r="I74" i="28"/>
  <c r="D11" i="35"/>
  <c r="I37" i="28"/>
  <c r="D53" i="4"/>
  <c r="D15" i="35"/>
  <c r="I41" i="28"/>
  <c r="D50" i="4"/>
  <c r="D14" i="35"/>
  <c r="I40" i="28"/>
  <c r="D49" i="4"/>
  <c r="D9" i="35"/>
  <c r="I35" i="28"/>
  <c r="D45" i="4"/>
  <c r="D9" i="46"/>
  <c r="I76" i="28"/>
  <c r="I13" i="28"/>
  <c r="E56" i="39"/>
  <c r="D10" i="35"/>
  <c r="I36" i="28"/>
  <c r="D46" i="4"/>
  <c r="D12" i="35"/>
  <c r="I38" i="28"/>
  <c r="D47" i="4"/>
  <c r="G84" i="28"/>
  <c r="F81" i="3"/>
  <c r="G86" i="28"/>
  <c r="F83" i="3"/>
  <c r="C23" i="5"/>
  <c r="F80" i="3"/>
  <c r="F35" i="39"/>
  <c r="E20" i="4"/>
  <c r="H83" i="28"/>
  <c r="H96" i="28"/>
  <c r="G15" i="3"/>
  <c r="G19" i="39"/>
  <c r="G22" i="39"/>
  <c r="F19" i="4"/>
  <c r="G29" i="39"/>
  <c r="G32" i="39"/>
  <c r="G12" i="39"/>
  <c r="F18" i="4"/>
  <c r="C53" i="4"/>
  <c r="H68" i="45"/>
  <c r="H73" i="45"/>
  <c r="H76" i="45"/>
  <c r="G69" i="45"/>
  <c r="G80" i="45"/>
  <c r="K25" i="28"/>
  <c r="G79" i="45"/>
  <c r="K24" i="28"/>
  <c r="F80" i="45"/>
  <c r="J25" i="28"/>
  <c r="F70" i="45"/>
  <c r="F81" i="45"/>
  <c r="J26" i="28"/>
  <c r="J113" i="28"/>
  <c r="E34" i="4"/>
  <c r="G85" i="28"/>
  <c r="F82" i="3"/>
  <c r="B61" i="4"/>
  <c r="G70" i="45"/>
  <c r="G81" i="45"/>
  <c r="K26" i="28"/>
  <c r="K113" i="28"/>
  <c r="K114" i="28"/>
  <c r="L85" i="28"/>
  <c r="K82" i="3"/>
  <c r="G61" i="4"/>
  <c r="L84" i="28"/>
  <c r="K81" i="3"/>
  <c r="E80" i="45"/>
  <c r="I25" i="28"/>
  <c r="E70" i="45"/>
  <c r="E81" i="45"/>
  <c r="I26" i="28"/>
  <c r="I113" i="28"/>
  <c r="I114" i="28"/>
  <c r="G80" i="3"/>
  <c r="H86" i="28"/>
  <c r="G83" i="3"/>
  <c r="D23" i="5"/>
  <c r="E10" i="35"/>
  <c r="J36" i="28"/>
  <c r="E46" i="4"/>
  <c r="E12" i="35"/>
  <c r="J38" i="28"/>
  <c r="E47" i="4"/>
  <c r="E9" i="46"/>
  <c r="J76" i="28"/>
  <c r="E14" i="35"/>
  <c r="J40" i="28"/>
  <c r="E49" i="4"/>
  <c r="E8" i="35"/>
  <c r="J34" i="28"/>
  <c r="E44" i="4"/>
  <c r="E9" i="35"/>
  <c r="J35" i="28"/>
  <c r="E45" i="4"/>
  <c r="E8" i="46"/>
  <c r="J74" i="28"/>
  <c r="J13" i="28"/>
  <c r="F56" i="39"/>
  <c r="E7" i="35"/>
  <c r="J33" i="28"/>
  <c r="E43" i="4"/>
  <c r="E11" i="35"/>
  <c r="J37" i="28"/>
  <c r="E13" i="35"/>
  <c r="J39" i="28"/>
  <c r="E15" i="35"/>
  <c r="J41" i="28"/>
  <c r="E50" i="4"/>
  <c r="H15" i="3"/>
  <c r="I83" i="28"/>
  <c r="I96" i="28"/>
  <c r="F20" i="4"/>
  <c r="G35" i="39"/>
  <c r="J114" i="28"/>
  <c r="F34" i="4"/>
  <c r="H79" i="45"/>
  <c r="L24" i="28"/>
  <c r="H69" i="45"/>
  <c r="H80" i="45"/>
  <c r="L25" i="28"/>
  <c r="J23" i="28"/>
  <c r="I22" i="3"/>
  <c r="I51" i="3"/>
  <c r="G108" i="28"/>
  <c r="I109" i="28"/>
  <c r="K23" i="28"/>
  <c r="J22" i="3"/>
  <c r="J51" i="3"/>
  <c r="I23" i="28"/>
  <c r="H22" i="3"/>
  <c r="H51" i="3"/>
  <c r="F11" i="35"/>
  <c r="K37" i="28"/>
  <c r="F7" i="35"/>
  <c r="K33" i="28"/>
  <c r="F43" i="4"/>
  <c r="F8" i="35"/>
  <c r="K34" i="28"/>
  <c r="F44" i="4"/>
  <c r="F9" i="46"/>
  <c r="K76" i="28"/>
  <c r="K13" i="28"/>
  <c r="F14" i="35"/>
  <c r="K40" i="28"/>
  <c r="F49" i="4"/>
  <c r="F9" i="35"/>
  <c r="K35" i="28"/>
  <c r="F45" i="4"/>
  <c r="F8" i="46"/>
  <c r="K74" i="28"/>
  <c r="G56" i="39"/>
  <c r="F10" i="35"/>
  <c r="K36" i="28"/>
  <c r="F46" i="4"/>
  <c r="F12" i="35"/>
  <c r="K38" i="28"/>
  <c r="F47" i="4"/>
  <c r="F13" i="35"/>
  <c r="K39" i="28"/>
  <c r="F48" i="4"/>
  <c r="J83" i="28"/>
  <c r="I15" i="3"/>
  <c r="J96" i="28"/>
  <c r="H85" i="28"/>
  <c r="G82" i="3"/>
  <c r="C61" i="4"/>
  <c r="F98" i="3"/>
  <c r="H84" i="28"/>
  <c r="G81" i="3"/>
  <c r="H80" i="3"/>
  <c r="I86" i="28"/>
  <c r="H83" i="3"/>
  <c r="E23" i="5"/>
  <c r="G34" i="4"/>
  <c r="H70" i="45"/>
  <c r="H81" i="45"/>
  <c r="L26" i="28"/>
  <c r="L113" i="28"/>
  <c r="I84" i="28"/>
  <c r="H81" i="3"/>
  <c r="I85" i="28"/>
  <c r="H82" i="3"/>
  <c r="D61" i="4"/>
  <c r="L23" i="28"/>
  <c r="K22" i="3"/>
  <c r="H31" i="4"/>
  <c r="H108" i="28"/>
  <c r="I80" i="3"/>
  <c r="J86" i="28"/>
  <c r="I83" i="3"/>
  <c r="F23" i="5"/>
  <c r="J84" i="28"/>
  <c r="I81" i="3"/>
  <c r="J15" i="3"/>
  <c r="K83" i="28"/>
  <c r="K96" i="28"/>
  <c r="L114" i="28"/>
  <c r="J85" i="28"/>
  <c r="I82" i="3"/>
  <c r="E61" i="4"/>
  <c r="K51" i="3"/>
  <c r="J109" i="28"/>
  <c r="G98" i="3"/>
  <c r="I108" i="28"/>
  <c r="J80" i="3"/>
  <c r="K86" i="28"/>
  <c r="J83" i="3"/>
  <c r="G23" i="5"/>
  <c r="J108" i="28"/>
  <c r="K109" i="28"/>
  <c r="H98" i="3"/>
  <c r="K84" i="28"/>
  <c r="J81" i="3"/>
  <c r="K85" i="28"/>
  <c r="J82" i="3"/>
  <c r="F61" i="4"/>
  <c r="I98" i="3"/>
  <c r="L109" i="28"/>
  <c r="K108" i="28"/>
  <c r="J98" i="3"/>
  <c r="L108" i="28"/>
  <c r="K98" i="3"/>
  <c r="D2" i="6"/>
  <c r="G104" i="3"/>
  <c r="D43" i="5"/>
  <c r="H61" i="4"/>
  <c r="H104" i="3"/>
  <c r="G103" i="3"/>
  <c r="C43" i="5"/>
  <c r="F119" i="3"/>
  <c r="E41" i="6"/>
  <c r="F41" i="6"/>
  <c r="G41" i="6"/>
  <c r="C41" i="6"/>
  <c r="D41" i="6"/>
  <c r="E2" i="5"/>
  <c r="C12" i="4"/>
  <c r="G23" i="4"/>
  <c r="F15" i="4"/>
  <c r="G43" i="49" s="1"/>
  <c r="E23" i="4"/>
  <c r="F23" i="4"/>
  <c r="D23" i="4"/>
  <c r="G15" i="4"/>
  <c r="H7" i="49"/>
  <c r="H23" i="4"/>
  <c r="B15" i="4"/>
  <c r="B60" i="6" s="1"/>
  <c r="D15" i="4"/>
  <c r="E7" i="49" s="1"/>
  <c r="C23" i="4"/>
  <c r="B23" i="4"/>
  <c r="C15" i="4"/>
  <c r="C60" i="6"/>
  <c r="E15" i="4"/>
  <c r="F25" i="49" s="1"/>
  <c r="E2" i="6"/>
  <c r="D12" i="6"/>
  <c r="D42" i="5"/>
  <c r="H103" i="3"/>
  <c r="I104" i="3"/>
  <c r="E43" i="5"/>
  <c r="E12" i="5"/>
  <c r="F2" i="5"/>
  <c r="F2" i="6"/>
  <c r="E12" i="6"/>
  <c r="I103" i="3"/>
  <c r="E42" i="5"/>
  <c r="J104" i="3"/>
  <c r="F43" i="5"/>
  <c r="F12" i="5"/>
  <c r="G2" i="5"/>
  <c r="G2" i="6"/>
  <c r="G12" i="6"/>
  <c r="F12" i="6"/>
  <c r="F42" i="5"/>
  <c r="J103" i="3"/>
  <c r="G43" i="5"/>
  <c r="K104" i="3"/>
  <c r="H43" i="5"/>
  <c r="G12" i="5"/>
  <c r="H2" i="5"/>
  <c r="H12" i="5"/>
  <c r="K103" i="3"/>
  <c r="H42" i="5"/>
  <c r="G42" i="5"/>
  <c r="K98" i="28"/>
  <c r="K55" i="28"/>
  <c r="I66" i="28"/>
  <c r="K66" i="28"/>
  <c r="H98" i="28"/>
  <c r="L98" i="28"/>
  <c r="L55" i="28"/>
  <c r="J55" i="28"/>
  <c r="J98" i="28"/>
  <c r="G56" i="28"/>
  <c r="J66" i="28"/>
  <c r="H62" i="28"/>
  <c r="I62" i="28"/>
  <c r="J62" i="28"/>
  <c r="K62" i="28"/>
  <c r="L62" i="28"/>
  <c r="H75" i="28"/>
  <c r="I75" i="28"/>
  <c r="J75" i="28"/>
  <c r="K75" i="28"/>
  <c r="L75" i="28"/>
  <c r="H66" i="28"/>
  <c r="G66" i="28"/>
  <c r="H55" i="28"/>
  <c r="L66" i="28"/>
  <c r="H60" i="28"/>
  <c r="G77" i="28"/>
  <c r="C38" i="45"/>
  <c r="C43" i="45"/>
  <c r="K74" i="3"/>
  <c r="J74" i="3"/>
  <c r="F74" i="3"/>
  <c r="F76" i="3"/>
  <c r="C17" i="5"/>
  <c r="G68" i="28"/>
  <c r="G48" i="28"/>
  <c r="I70" i="3"/>
  <c r="J48" i="28"/>
  <c r="H48" i="28"/>
  <c r="G70" i="3"/>
  <c r="G74" i="3"/>
  <c r="H74" i="3"/>
  <c r="K70" i="3"/>
  <c r="L48" i="28"/>
  <c r="G67" i="28"/>
  <c r="F75" i="3"/>
  <c r="H77" i="28"/>
  <c r="I74" i="3"/>
  <c r="K48" i="28"/>
  <c r="J70" i="3"/>
  <c r="H56" i="28"/>
  <c r="F71" i="3"/>
  <c r="G57" i="28"/>
  <c r="H57" i="28"/>
  <c r="G49" i="28"/>
  <c r="C39" i="45"/>
  <c r="H67" i="28"/>
  <c r="I77" i="28"/>
  <c r="F28" i="3"/>
  <c r="B60" i="4"/>
  <c r="B19" i="6"/>
  <c r="F72" i="3"/>
  <c r="G71" i="3"/>
  <c r="H49" i="28"/>
  <c r="G50" i="28"/>
  <c r="H50" i="28"/>
  <c r="I67" i="28"/>
  <c r="J77" i="28"/>
  <c r="C16" i="5"/>
  <c r="C20" i="5"/>
  <c r="B28" i="6"/>
  <c r="F68" i="3"/>
  <c r="G72" i="3"/>
  <c r="G75" i="3"/>
  <c r="G76" i="3"/>
  <c r="D17" i="5"/>
  <c r="H68" i="28"/>
  <c r="D16" i="5"/>
  <c r="D20" i="5"/>
  <c r="C28" i="6"/>
  <c r="G68" i="3"/>
  <c r="J67" i="28"/>
  <c r="K77" i="28"/>
  <c r="C268" i="49"/>
  <c r="H75" i="3"/>
  <c r="H76" i="3"/>
  <c r="E17" i="5"/>
  <c r="I68" i="28"/>
  <c r="G28" i="3"/>
  <c r="C60" i="4"/>
  <c r="K67" i="28"/>
  <c r="L77" i="28"/>
  <c r="L67" i="28"/>
  <c r="D207" i="49"/>
  <c r="D8" i="49"/>
  <c r="C19" i="6"/>
  <c r="I75" i="3"/>
  <c r="I76" i="3"/>
  <c r="F17" i="5"/>
  <c r="J68" i="28"/>
  <c r="D268" i="49"/>
  <c r="K75" i="3"/>
  <c r="J75" i="3"/>
  <c r="J76" i="3"/>
  <c r="G17" i="5"/>
  <c r="K68" i="28"/>
  <c r="L68" i="28"/>
  <c r="K76" i="3"/>
  <c r="H17" i="5"/>
  <c r="C58" i="45"/>
  <c r="C63" i="45"/>
  <c r="C49" i="45"/>
  <c r="C50" i="45"/>
  <c r="C53" i="45"/>
  <c r="C76" i="45"/>
  <c r="C33" i="45"/>
  <c r="C28" i="45"/>
  <c r="C29" i="45"/>
  <c r="C80" i="45"/>
  <c r="G25" i="28"/>
  <c r="C69" i="45"/>
  <c r="C70" i="45"/>
  <c r="C59" i="45"/>
  <c r="C60" i="45"/>
  <c r="C40" i="45"/>
  <c r="C79" i="45"/>
  <c r="G24" i="28"/>
  <c r="B34" i="4"/>
  <c r="C30" i="45"/>
  <c r="B62" i="4"/>
  <c r="G107" i="28"/>
  <c r="C81" i="45"/>
  <c r="G26" i="28"/>
  <c r="C207" i="49"/>
  <c r="C8" i="49"/>
  <c r="G113" i="28"/>
  <c r="B35" i="4"/>
  <c r="F99" i="3"/>
  <c r="F97" i="3"/>
  <c r="C33" i="5"/>
  <c r="G105" i="28"/>
  <c r="H107" i="28"/>
  <c r="G23" i="28"/>
  <c r="F22" i="3"/>
  <c r="F51" i="3"/>
  <c r="I107" i="28"/>
  <c r="H105" i="28"/>
  <c r="G99" i="3"/>
  <c r="G97" i="3"/>
  <c r="D33" i="5"/>
  <c r="G114" i="28"/>
  <c r="G115" i="28"/>
  <c r="H115" i="28"/>
  <c r="F93" i="3"/>
  <c r="C32" i="5"/>
  <c r="I105" i="28"/>
  <c r="H99" i="3"/>
  <c r="H97" i="3"/>
  <c r="E33" i="5"/>
  <c r="J107" i="28"/>
  <c r="G93" i="3"/>
  <c r="D32" i="5"/>
  <c r="I115" i="28"/>
  <c r="I99" i="3"/>
  <c r="I97" i="3"/>
  <c r="F33" i="5"/>
  <c r="J105" i="28"/>
  <c r="K107" i="28"/>
  <c r="H93" i="3"/>
  <c r="E32" i="5"/>
  <c r="J115" i="28"/>
  <c r="K105" i="28"/>
  <c r="J99" i="3"/>
  <c r="J97" i="3"/>
  <c r="G33" i="5"/>
  <c r="L107" i="28"/>
  <c r="I93" i="3"/>
  <c r="F32" i="5"/>
  <c r="K115" i="28"/>
  <c r="L105" i="28"/>
  <c r="K99" i="3"/>
  <c r="K97" i="3"/>
  <c r="H33" i="5"/>
  <c r="L115" i="28"/>
  <c r="K93" i="3"/>
  <c r="H32" i="5"/>
  <c r="J93" i="3"/>
  <c r="G32" i="5"/>
  <c r="G60" i="6"/>
  <c r="H25" i="49"/>
  <c r="C185" i="49"/>
  <c r="H46" i="4"/>
  <c r="E53" i="4"/>
  <c r="I26" i="3"/>
  <c r="H48" i="4"/>
  <c r="G47" i="4"/>
  <c r="K32" i="28"/>
  <c r="F42" i="4"/>
  <c r="F39" i="4"/>
  <c r="G6" i="35"/>
  <c r="L32" i="28"/>
  <c r="H43" i="4"/>
  <c r="G43" i="4"/>
  <c r="D48" i="4"/>
  <c r="I97" i="28"/>
  <c r="E48" i="4"/>
  <c r="J89" i="28"/>
  <c r="J91" i="28"/>
  <c r="J92" i="28"/>
  <c r="I88" i="3"/>
  <c r="F24" i="5"/>
  <c r="F27" i="5"/>
  <c r="F53" i="4"/>
  <c r="J26" i="3"/>
  <c r="H47" i="4"/>
  <c r="K26" i="3"/>
  <c r="H50" i="4"/>
  <c r="J32" i="28"/>
  <c r="E42" i="4"/>
  <c r="H44" i="4"/>
  <c r="G49" i="4"/>
  <c r="G89" i="28"/>
  <c r="G91" i="28"/>
  <c r="F87" i="3"/>
  <c r="G30" i="28"/>
  <c r="F25" i="3"/>
  <c r="H30" i="28"/>
  <c r="G25" i="3"/>
  <c r="H97" i="28"/>
  <c r="I30" i="28"/>
  <c r="H25" i="3"/>
  <c r="H89" i="28"/>
  <c r="H91" i="28"/>
  <c r="G87" i="3"/>
  <c r="G45" i="4"/>
  <c r="D39" i="4"/>
  <c r="E39" i="4"/>
  <c r="I87" i="3"/>
  <c r="H92" i="28"/>
  <c r="G88" i="3"/>
  <c r="D24" i="5"/>
  <c r="D27" i="5"/>
  <c r="K30" i="28"/>
  <c r="J25" i="3"/>
  <c r="C49" i="4"/>
  <c r="C39" i="4"/>
  <c r="B42" i="4"/>
  <c r="B39" i="4"/>
  <c r="J30" i="28"/>
  <c r="I25" i="3"/>
  <c r="H26" i="3"/>
  <c r="G53" i="4"/>
  <c r="G97" i="28"/>
  <c r="G100" i="28"/>
  <c r="K89" i="28"/>
  <c r="K91" i="28"/>
  <c r="I89" i="28"/>
  <c r="I91" i="28"/>
  <c r="G48" i="4"/>
  <c r="N57" i="4"/>
  <c r="C7" i="49"/>
  <c r="H43" i="49"/>
  <c r="D25" i="49"/>
  <c r="D7" i="49"/>
  <c r="D43" i="49"/>
  <c r="C186" i="49"/>
  <c r="F7" i="49"/>
  <c r="D60" i="6"/>
  <c r="G25" i="49"/>
  <c r="G7" i="49"/>
  <c r="E43" i="49"/>
  <c r="F43" i="49"/>
  <c r="G92" i="28"/>
  <c r="F88" i="3"/>
  <c r="C24" i="5"/>
  <c r="C27" i="5"/>
  <c r="J97" i="28"/>
  <c r="G42" i="4"/>
  <c r="H42" i="4"/>
  <c r="L30" i="28"/>
  <c r="K25" i="3"/>
  <c r="H39" i="4"/>
  <c r="H56" i="4"/>
  <c r="H57" i="4" s="1"/>
  <c r="G39" i="4"/>
  <c r="L89" i="28"/>
  <c r="L91" i="28"/>
  <c r="K87" i="3"/>
  <c r="K97" i="28"/>
  <c r="L97" i="28"/>
  <c r="F267" i="49"/>
  <c r="J87" i="3"/>
  <c r="K92" i="28"/>
  <c r="J88" i="3"/>
  <c r="G24" i="5"/>
  <c r="G27" i="5"/>
  <c r="G103" i="28"/>
  <c r="F91" i="3"/>
  <c r="C30" i="5"/>
  <c r="H100" i="28"/>
  <c r="H101" i="28"/>
  <c r="H87" i="3"/>
  <c r="I92" i="28"/>
  <c r="H88" i="3"/>
  <c r="E24" i="5"/>
  <c r="E27" i="5"/>
  <c r="E27" i="6"/>
  <c r="D267" i="49"/>
  <c r="D124" i="49"/>
  <c r="C267" i="49"/>
  <c r="B27" i="6"/>
  <c r="C124" i="49"/>
  <c r="C27" i="6"/>
  <c r="L92" i="28"/>
  <c r="K88" i="3"/>
  <c r="H24" i="5"/>
  <c r="H27" i="5"/>
  <c r="H267" i="49"/>
  <c r="G267" i="49"/>
  <c r="F27" i="6"/>
  <c r="G27" i="6"/>
  <c r="H103" i="28"/>
  <c r="G91" i="3"/>
  <c r="D30" i="5"/>
  <c r="I101" i="28"/>
  <c r="E267" i="49"/>
  <c r="D27" i="6"/>
  <c r="K65" i="4" l="1"/>
  <c r="K57" i="4"/>
  <c r="J66" i="4"/>
  <c r="J73" i="4"/>
  <c r="I57" i="4"/>
  <c r="I65" i="4"/>
  <c r="E2" i="4"/>
  <c r="J57" i="4"/>
  <c r="L65" i="4"/>
  <c r="L57" i="4"/>
  <c r="N73" i="4"/>
  <c r="N66" i="4"/>
  <c r="M65" i="4"/>
  <c r="M57" i="4"/>
  <c r="C163" i="49"/>
  <c r="C25" i="49"/>
  <c r="F60" i="6"/>
  <c r="E25" i="49"/>
  <c r="C43" i="49"/>
  <c r="E60" i="6"/>
  <c r="I73" i="4" l="1"/>
  <c r="I66" i="4"/>
  <c r="N77" i="4"/>
  <c r="N79" i="4"/>
  <c r="L73" i="4"/>
  <c r="L66" i="4"/>
  <c r="M73" i="4"/>
  <c r="M66" i="4"/>
  <c r="J77" i="4"/>
  <c r="J79" i="4"/>
  <c r="F2" i="4"/>
  <c r="E12" i="4"/>
  <c r="K73" i="4"/>
  <c r="K66" i="4"/>
  <c r="L79" i="4" l="1"/>
  <c r="L77" i="4"/>
  <c r="G2" i="4"/>
  <c r="F12" i="4"/>
  <c r="J83" i="4"/>
  <c r="J80" i="4"/>
  <c r="M77" i="4"/>
  <c r="M79" i="4"/>
  <c r="K77" i="4"/>
  <c r="K79" i="4"/>
  <c r="N83" i="4"/>
  <c r="N80" i="4"/>
  <c r="I77" i="4"/>
  <c r="I79" i="4"/>
  <c r="I83" i="4" l="1"/>
  <c r="I80" i="4"/>
  <c r="M83" i="4"/>
  <c r="M80" i="4"/>
  <c r="H2" i="4"/>
  <c r="G12" i="4"/>
  <c r="K80" i="4"/>
  <c r="K83" i="4"/>
  <c r="L80" i="4"/>
  <c r="L83" i="4"/>
  <c r="I2" i="4" l="1"/>
  <c r="H12" i="4"/>
  <c r="I12" i="4" l="1"/>
  <c r="J2" i="4"/>
  <c r="J12" i="4" l="1"/>
  <c r="K2" i="4"/>
  <c r="K12" i="4" l="1"/>
  <c r="L2" i="4"/>
  <c r="L12" i="4" l="1"/>
  <c r="M2" i="4"/>
  <c r="N2" i="4" l="1"/>
  <c r="N12" i="4" s="1"/>
  <c r="M12" i="4"/>
  <c r="B16" i="6"/>
  <c r="C16" i="6"/>
  <c r="D16" i="6"/>
  <c r="E16" i="6"/>
  <c r="F16" i="6"/>
  <c r="G16" i="6"/>
  <c r="D19" i="6"/>
  <c r="E19" i="6"/>
  <c r="F19" i="6"/>
  <c r="G19" i="6"/>
  <c r="C20" i="6"/>
  <c r="D20" i="6"/>
  <c r="E20" i="6"/>
  <c r="F20" i="6"/>
  <c r="G20" i="6"/>
  <c r="B24" i="6"/>
  <c r="C24" i="6"/>
  <c r="D24" i="6"/>
  <c r="E24" i="6"/>
  <c r="F24" i="6"/>
  <c r="G24" i="6"/>
  <c r="D28" i="6"/>
  <c r="E28" i="6"/>
  <c r="F28" i="6"/>
  <c r="G28" i="6"/>
  <c r="B29" i="6"/>
  <c r="C29" i="6"/>
  <c r="D29" i="6"/>
  <c r="E29" i="6"/>
  <c r="F29" i="6"/>
  <c r="G29" i="6"/>
  <c r="B32" i="6"/>
  <c r="C32" i="6"/>
  <c r="D32" i="6"/>
  <c r="E32" i="6"/>
  <c r="F32" i="6"/>
  <c r="G32" i="6"/>
  <c r="B35" i="6"/>
  <c r="C35" i="6"/>
  <c r="D35" i="6"/>
  <c r="E35" i="6"/>
  <c r="F35" i="6"/>
  <c r="G35" i="6"/>
  <c r="B38" i="6"/>
  <c r="C38" i="6"/>
  <c r="D38" i="6"/>
  <c r="E38" i="6"/>
  <c r="F38" i="6"/>
  <c r="G38" i="6"/>
  <c r="B42" i="6"/>
  <c r="C42" i="6"/>
  <c r="D42" i="6"/>
  <c r="E42" i="6"/>
  <c r="F42" i="6"/>
  <c r="G42" i="6"/>
  <c r="B45" i="6"/>
  <c r="C45" i="6"/>
  <c r="D45" i="6"/>
  <c r="E45" i="6"/>
  <c r="F45" i="6"/>
  <c r="G45" i="6"/>
  <c r="C48" i="6"/>
  <c r="D48" i="6"/>
  <c r="E48" i="6"/>
  <c r="F48" i="6"/>
  <c r="G48" i="6"/>
  <c r="B51" i="6"/>
  <c r="C51" i="6"/>
  <c r="D51" i="6"/>
  <c r="E51" i="6"/>
  <c r="F51" i="6"/>
  <c r="G51" i="6"/>
  <c r="B58" i="6"/>
  <c r="C58" i="6"/>
  <c r="D58" i="6"/>
  <c r="E58" i="6"/>
  <c r="F58" i="6"/>
  <c r="G58" i="6"/>
  <c r="B59" i="6"/>
  <c r="C59" i="6"/>
  <c r="D59" i="6"/>
  <c r="E59" i="6"/>
  <c r="F59" i="6"/>
  <c r="G59" i="6"/>
  <c r="B61" i="6"/>
  <c r="C61" i="6"/>
  <c r="D61" i="6"/>
  <c r="E61" i="6"/>
  <c r="F61" i="6"/>
  <c r="G61" i="6"/>
  <c r="D6" i="46"/>
  <c r="B19" i="46"/>
  <c r="E16" i="5"/>
  <c r="F16" i="5"/>
  <c r="G16" i="5"/>
  <c r="H16" i="5"/>
  <c r="E20" i="5"/>
  <c r="F20" i="5"/>
  <c r="G20" i="5"/>
  <c r="H20" i="5"/>
  <c r="E30" i="5"/>
  <c r="F30" i="5"/>
  <c r="G30" i="5"/>
  <c r="H30" i="5"/>
  <c r="C31" i="5"/>
  <c r="D31" i="5"/>
  <c r="E31" i="5"/>
  <c r="F31" i="5"/>
  <c r="G31" i="5"/>
  <c r="H31" i="5"/>
  <c r="C36" i="5"/>
  <c r="D36" i="5"/>
  <c r="E36" i="5"/>
  <c r="F36" i="5"/>
  <c r="G36" i="5"/>
  <c r="H36" i="5"/>
  <c r="C39" i="5"/>
  <c r="D39" i="5"/>
  <c r="E39" i="5"/>
  <c r="F39" i="5"/>
  <c r="G39" i="5"/>
  <c r="H39" i="5"/>
  <c r="D44" i="5"/>
  <c r="E44" i="5"/>
  <c r="F44" i="5"/>
  <c r="G44" i="5"/>
  <c r="H44" i="5"/>
  <c r="C45" i="5"/>
  <c r="D45" i="5"/>
  <c r="E45" i="5"/>
  <c r="F45" i="5"/>
  <c r="G45" i="5"/>
  <c r="H45" i="5"/>
  <c r="D46" i="5"/>
  <c r="E46" i="5"/>
  <c r="F46" i="5"/>
  <c r="G46" i="5"/>
  <c r="H46" i="5"/>
  <c r="C49" i="5"/>
  <c r="D49" i="5"/>
  <c r="E49" i="5"/>
  <c r="F49" i="5"/>
  <c r="G49" i="5"/>
  <c r="H49" i="5"/>
  <c r="C53" i="5"/>
  <c r="D53" i="5"/>
  <c r="E53" i="5"/>
  <c r="F53" i="5"/>
  <c r="G53" i="5"/>
  <c r="H53" i="5"/>
  <c r="C56" i="5"/>
  <c r="D56" i="5"/>
  <c r="E56" i="5"/>
  <c r="F56" i="5"/>
  <c r="G56" i="5"/>
  <c r="H56" i="5"/>
  <c r="C59" i="5"/>
  <c r="D59" i="5"/>
  <c r="E59" i="5"/>
  <c r="F59" i="5"/>
  <c r="G59" i="5"/>
  <c r="H59" i="5"/>
  <c r="I48" i="28"/>
  <c r="I49" i="28"/>
  <c r="J49" i="28"/>
  <c r="K49" i="28"/>
  <c r="L49" i="28"/>
  <c r="I50" i="28"/>
  <c r="J50" i="28"/>
  <c r="K50" i="28"/>
  <c r="L50" i="28"/>
  <c r="I55" i="28"/>
  <c r="I56" i="28"/>
  <c r="J56" i="28"/>
  <c r="K56" i="28"/>
  <c r="L56" i="28"/>
  <c r="I57" i="28"/>
  <c r="J57" i="28"/>
  <c r="K57" i="28"/>
  <c r="L57" i="28"/>
  <c r="I59" i="28"/>
  <c r="I60" i="28"/>
  <c r="J60" i="28"/>
  <c r="K60" i="28"/>
  <c r="L60" i="28"/>
  <c r="I98" i="28"/>
  <c r="I100" i="28"/>
  <c r="J100" i="28"/>
  <c r="K100" i="28"/>
  <c r="L100" i="28"/>
  <c r="J101" i="28"/>
  <c r="K101" i="28"/>
  <c r="L101" i="28"/>
  <c r="I103" i="28"/>
  <c r="J103" i="28"/>
  <c r="K103" i="28"/>
  <c r="L103" i="28"/>
  <c r="F23" i="3"/>
  <c r="G23" i="3"/>
  <c r="H23" i="3"/>
  <c r="I23" i="3"/>
  <c r="J23" i="3"/>
  <c r="K23" i="3"/>
  <c r="H28" i="3"/>
  <c r="I28" i="3"/>
  <c r="J28" i="3"/>
  <c r="K28" i="3"/>
  <c r="F30" i="3"/>
  <c r="G30" i="3"/>
  <c r="H30" i="3"/>
  <c r="I30" i="3"/>
  <c r="J30" i="3"/>
  <c r="K30" i="3"/>
  <c r="F39" i="3"/>
  <c r="G39" i="3"/>
  <c r="H39" i="3"/>
  <c r="I39" i="3"/>
  <c r="J39" i="3"/>
  <c r="K39" i="3"/>
  <c r="G40" i="3"/>
  <c r="H40" i="3"/>
  <c r="I40" i="3"/>
  <c r="J40" i="3"/>
  <c r="K40" i="3"/>
  <c r="G41" i="3"/>
  <c r="H41" i="3"/>
  <c r="I41" i="3"/>
  <c r="J41" i="3"/>
  <c r="K41" i="3"/>
  <c r="F42" i="3"/>
  <c r="G42" i="3"/>
  <c r="H42" i="3"/>
  <c r="I42" i="3"/>
  <c r="J42" i="3"/>
  <c r="K42" i="3"/>
  <c r="F43" i="3"/>
  <c r="G43" i="3"/>
  <c r="H43" i="3"/>
  <c r="I43" i="3"/>
  <c r="J43" i="3"/>
  <c r="K43" i="3"/>
  <c r="F46" i="3"/>
  <c r="G46" i="3"/>
  <c r="H46" i="3"/>
  <c r="I46" i="3"/>
  <c r="J46" i="3"/>
  <c r="K46" i="3"/>
  <c r="F49" i="3"/>
  <c r="G49" i="3"/>
  <c r="H49" i="3"/>
  <c r="I49" i="3"/>
  <c r="J49" i="3"/>
  <c r="K49" i="3"/>
  <c r="F50" i="3"/>
  <c r="G50" i="3"/>
  <c r="H50" i="3"/>
  <c r="I50" i="3"/>
  <c r="J50" i="3"/>
  <c r="K50" i="3"/>
  <c r="F52" i="3"/>
  <c r="G52" i="3"/>
  <c r="H52" i="3"/>
  <c r="I52" i="3"/>
  <c r="J52" i="3"/>
  <c r="K52" i="3"/>
  <c r="F54" i="3"/>
  <c r="G54" i="3"/>
  <c r="H54" i="3"/>
  <c r="I54" i="3"/>
  <c r="J54" i="3"/>
  <c r="K54" i="3"/>
  <c r="F56" i="3"/>
  <c r="G56" i="3"/>
  <c r="H56" i="3"/>
  <c r="I56" i="3"/>
  <c r="J56" i="3"/>
  <c r="K56" i="3"/>
  <c r="G57" i="3"/>
  <c r="H57" i="3"/>
  <c r="I57" i="3"/>
  <c r="J57" i="3"/>
  <c r="K57" i="3"/>
  <c r="G58" i="3"/>
  <c r="H58" i="3"/>
  <c r="I58" i="3"/>
  <c r="J58" i="3"/>
  <c r="K58" i="3"/>
  <c r="G59" i="3"/>
  <c r="H59" i="3"/>
  <c r="I59" i="3"/>
  <c r="J59" i="3"/>
  <c r="K59" i="3"/>
  <c r="F61" i="3"/>
  <c r="G61" i="3"/>
  <c r="H61" i="3"/>
  <c r="I61" i="3"/>
  <c r="J61" i="3"/>
  <c r="K61" i="3"/>
  <c r="G62" i="3"/>
  <c r="H62" i="3"/>
  <c r="I62" i="3"/>
  <c r="J62" i="3"/>
  <c r="K62" i="3"/>
  <c r="F63" i="3"/>
  <c r="G63" i="3"/>
  <c r="H63" i="3"/>
  <c r="I63" i="3"/>
  <c r="J63" i="3"/>
  <c r="K63" i="3"/>
  <c r="H68" i="3"/>
  <c r="I68" i="3"/>
  <c r="J68" i="3"/>
  <c r="K68" i="3"/>
  <c r="H70" i="3"/>
  <c r="H71" i="3"/>
  <c r="I71" i="3"/>
  <c r="J71" i="3"/>
  <c r="K71" i="3"/>
  <c r="H72" i="3"/>
  <c r="I72" i="3"/>
  <c r="J72" i="3"/>
  <c r="K72" i="3"/>
  <c r="H91" i="3"/>
  <c r="I91" i="3"/>
  <c r="J91" i="3"/>
  <c r="K91" i="3"/>
  <c r="F102" i="3"/>
  <c r="G102" i="3"/>
  <c r="H102" i="3"/>
  <c r="I102" i="3"/>
  <c r="J102" i="3"/>
  <c r="K102" i="3"/>
  <c r="G105" i="3"/>
  <c r="H105" i="3"/>
  <c r="I105" i="3"/>
  <c r="J105" i="3"/>
  <c r="K105" i="3"/>
  <c r="F106" i="3"/>
  <c r="G106" i="3"/>
  <c r="H106" i="3"/>
  <c r="I106" i="3"/>
  <c r="J106" i="3"/>
  <c r="K106" i="3"/>
  <c r="G107" i="3"/>
  <c r="H107" i="3"/>
  <c r="I107" i="3"/>
  <c r="J107" i="3"/>
  <c r="K107" i="3"/>
  <c r="C119" i="3"/>
  <c r="G119" i="3"/>
  <c r="H119" i="3"/>
  <c r="I119" i="3"/>
  <c r="J119" i="3"/>
  <c r="K119" i="3"/>
  <c r="E121" i="3"/>
  <c r="E8" i="49"/>
  <c r="F8" i="49"/>
  <c r="G8" i="49"/>
  <c r="H8" i="49"/>
  <c r="C9" i="49"/>
  <c r="D9" i="49"/>
  <c r="E9" i="49"/>
  <c r="F9" i="49"/>
  <c r="G9" i="49"/>
  <c r="H9" i="49"/>
  <c r="C26" i="49"/>
  <c r="D26" i="49"/>
  <c r="E26" i="49"/>
  <c r="F26" i="49"/>
  <c r="G26" i="49"/>
  <c r="H26" i="49"/>
  <c r="C27" i="49"/>
  <c r="D27" i="49"/>
  <c r="E27" i="49"/>
  <c r="F27" i="49"/>
  <c r="G27" i="49"/>
  <c r="H27" i="49"/>
  <c r="C28" i="49"/>
  <c r="D28" i="49"/>
  <c r="E28" i="49"/>
  <c r="F28" i="49"/>
  <c r="G28" i="49"/>
  <c r="H28" i="49"/>
  <c r="C29" i="49"/>
  <c r="D29" i="49"/>
  <c r="E29" i="49"/>
  <c r="F29" i="49"/>
  <c r="G29" i="49"/>
  <c r="H29" i="49"/>
  <c r="C30" i="49"/>
  <c r="D30" i="49"/>
  <c r="E30" i="49"/>
  <c r="F30" i="49"/>
  <c r="G30" i="49"/>
  <c r="H30" i="49"/>
  <c r="C58" i="49"/>
  <c r="D58" i="49"/>
  <c r="E58" i="49"/>
  <c r="F58" i="49"/>
  <c r="G58" i="49"/>
  <c r="H58" i="49"/>
  <c r="C103" i="49"/>
  <c r="D103" i="49"/>
  <c r="E103" i="49"/>
  <c r="F103" i="49"/>
  <c r="G103" i="49"/>
  <c r="H103" i="49"/>
  <c r="E124" i="49"/>
  <c r="F124" i="49"/>
  <c r="G124" i="49"/>
  <c r="H124" i="49"/>
  <c r="E207" i="49"/>
  <c r="F207" i="49"/>
  <c r="G207" i="49"/>
  <c r="H207" i="49"/>
  <c r="C208" i="49"/>
  <c r="D208" i="49"/>
  <c r="E208" i="49"/>
  <c r="F208" i="49"/>
  <c r="G208" i="49"/>
  <c r="H208" i="49"/>
  <c r="C228" i="49"/>
  <c r="D228" i="49"/>
  <c r="E228" i="49"/>
  <c r="F228" i="49"/>
  <c r="G228" i="49"/>
  <c r="H228" i="49"/>
  <c r="C229" i="49"/>
  <c r="D229" i="49"/>
  <c r="E229" i="49"/>
  <c r="F229" i="49"/>
  <c r="G229" i="49"/>
  <c r="H229" i="49"/>
  <c r="C248" i="49"/>
  <c r="D248" i="49"/>
  <c r="E248" i="49"/>
  <c r="F248" i="49"/>
  <c r="G248" i="49"/>
  <c r="H248" i="49"/>
  <c r="C249" i="49"/>
  <c r="D249" i="49"/>
  <c r="E249" i="49"/>
  <c r="F249" i="49"/>
  <c r="G249" i="49"/>
  <c r="H249" i="49"/>
  <c r="E268" i="49"/>
  <c r="F268" i="49"/>
  <c r="G268" i="49"/>
  <c r="H268" i="49"/>
  <c r="C290" i="49"/>
  <c r="D290" i="49"/>
  <c r="E290" i="49"/>
  <c r="F290" i="49"/>
  <c r="G290" i="49"/>
  <c r="H290" i="49"/>
  <c r="C310" i="49"/>
  <c r="D310" i="49"/>
  <c r="E310" i="49"/>
  <c r="F310" i="49"/>
  <c r="G310" i="49"/>
  <c r="H310" i="49"/>
  <c r="C311" i="49"/>
  <c r="D311" i="49"/>
  <c r="E311" i="49"/>
  <c r="F311" i="49"/>
  <c r="G311" i="49"/>
  <c r="H311" i="49"/>
  <c r="B31" i="4"/>
  <c r="C31" i="4"/>
  <c r="D31" i="4"/>
  <c r="E31" i="4"/>
  <c r="F31" i="4"/>
  <c r="G31" i="4"/>
  <c r="B36" i="4"/>
  <c r="C36" i="4"/>
  <c r="D36" i="4"/>
  <c r="E36" i="4"/>
  <c r="F36" i="4"/>
  <c r="G36" i="4"/>
  <c r="B56" i="4"/>
  <c r="C56" i="4"/>
  <c r="D56" i="4"/>
  <c r="E56" i="4"/>
  <c r="F56" i="4"/>
  <c r="G56" i="4"/>
  <c r="B57" i="4"/>
  <c r="C57" i="4"/>
  <c r="D57" i="4"/>
  <c r="E57" i="4"/>
  <c r="F57" i="4"/>
  <c r="G57" i="4"/>
  <c r="D60" i="4"/>
  <c r="E60" i="4"/>
  <c r="F60" i="4"/>
  <c r="G60" i="4"/>
  <c r="H60" i="4"/>
  <c r="B65" i="4"/>
  <c r="C65" i="4"/>
  <c r="D65" i="4"/>
  <c r="E65" i="4"/>
  <c r="F65" i="4"/>
  <c r="G65" i="4"/>
  <c r="H65" i="4"/>
  <c r="B66" i="4"/>
  <c r="C66" i="4"/>
  <c r="D66" i="4"/>
  <c r="E66" i="4"/>
  <c r="F66" i="4"/>
  <c r="G66" i="4"/>
  <c r="H66" i="4"/>
  <c r="B69" i="4"/>
  <c r="C69" i="4"/>
  <c r="D69" i="4"/>
  <c r="E69" i="4"/>
  <c r="F69" i="4"/>
  <c r="G69" i="4"/>
  <c r="B73" i="4"/>
  <c r="C73" i="4"/>
  <c r="D73" i="4"/>
  <c r="E73" i="4"/>
  <c r="F73" i="4"/>
  <c r="G73" i="4"/>
  <c r="H73" i="4"/>
  <c r="C76" i="4"/>
  <c r="D76" i="4"/>
  <c r="E76" i="4"/>
  <c r="F76" i="4"/>
  <c r="G76" i="4"/>
  <c r="H76" i="4"/>
  <c r="H77" i="4"/>
  <c r="B79" i="4"/>
  <c r="C79" i="4"/>
  <c r="D79" i="4"/>
  <c r="E79" i="4"/>
  <c r="F79" i="4"/>
  <c r="G79" i="4"/>
  <c r="H79" i="4"/>
  <c r="B80" i="4"/>
  <c r="C80" i="4"/>
  <c r="D80" i="4"/>
  <c r="E80" i="4"/>
  <c r="F80" i="4"/>
  <c r="G80" i="4"/>
  <c r="H80" i="4"/>
  <c r="B83" i="4"/>
  <c r="C83" i="4"/>
  <c r="D83" i="4"/>
  <c r="E83" i="4"/>
  <c r="F83" i="4"/>
  <c r="G83" i="4"/>
  <c r="H8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Marco Tognoni</author>
  </authors>
  <commentList>
    <comment ref="D30" authorId="0" shapeId="0" xr:uid="{00000000-0006-0000-0500-000001000000}">
      <text>
        <r>
          <rPr>
            <b/>
            <sz val="9"/>
            <color indexed="81"/>
            <rFont val="Tahoma"/>
            <family val="2"/>
          </rPr>
          <t>Marco Tognoni:</t>
        </r>
        <r>
          <rPr>
            <sz val="9"/>
            <color indexed="81"/>
            <rFont val="Tahoma"/>
            <family val="2"/>
          </rPr>
          <t xml:space="preserve">
5% yearly rate on Short term debt amount, based on the rate applied by Unicredit on Invoice financing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Marco Tognoni</author>
  </authors>
  <commentList>
    <comment ref="C7" authorId="0" shapeId="0" xr:uid="{00000000-0006-0000-0700-000001000000}">
      <text>
        <r>
          <rPr>
            <b/>
            <sz val="9"/>
            <color indexed="81"/>
            <rFont val="Tahoma"/>
            <family val="2"/>
          </rPr>
          <t>Marco Tognoni:</t>
        </r>
        <r>
          <rPr>
            <sz val="9"/>
            <color indexed="81"/>
            <rFont val="Tahoma"/>
            <family val="2"/>
          </rPr>
          <t xml:space="preserve">
geometric average of the value generated by interactions in the first year</t>
        </r>
      </text>
    </comment>
    <comment ref="I7" authorId="0" shapeId="0" xr:uid="{00000000-0006-0000-0700-000002000000}">
      <text>
        <r>
          <rPr>
            <b/>
            <sz val="9"/>
            <color indexed="81"/>
            <rFont val="Tahoma"/>
            <family val="2"/>
          </rPr>
          <t>Marco Tognoni:</t>
        </r>
        <r>
          <rPr>
            <sz val="9"/>
            <color indexed="81"/>
            <rFont val="Tahoma"/>
            <family val="2"/>
          </rPr>
          <t xml:space="preserve">
Facebook sells its interactions with a parameter around 19
</t>
        </r>
      </text>
    </comment>
    <comment ref="C8" authorId="0" shapeId="0" xr:uid="{00000000-0006-0000-0700-000003000000}">
      <text>
        <r>
          <rPr>
            <b/>
            <sz val="9"/>
            <color indexed="81"/>
            <rFont val="Tahoma"/>
            <family val="2"/>
          </rPr>
          <t>Marco Tognoni:</t>
        </r>
        <r>
          <rPr>
            <sz val="9"/>
            <color indexed="81"/>
            <rFont val="Tahoma"/>
            <family val="2"/>
          </rPr>
          <t xml:space="preserve">
Coefficient for Big Data Sales.
Its the ratio between users and the economic value extracted by them.
Constant over time.
Derived from Twitter, Instagram, TikTok sales</t>
        </r>
      </text>
    </comment>
    <comment ref="C9" authorId="0" shapeId="0" xr:uid="{00000000-0006-0000-0700-000004000000}">
      <text>
        <r>
          <rPr>
            <b/>
            <sz val="9"/>
            <color indexed="81"/>
            <rFont val="Tahoma"/>
            <family val="2"/>
          </rPr>
          <t>Marco Tognoni:</t>
        </r>
        <r>
          <rPr>
            <sz val="9"/>
            <color indexed="81"/>
            <rFont val="Tahoma"/>
            <family val="2"/>
          </rPr>
          <t xml:space="preserve">
Based on the growth rate of other similar applications</t>
        </r>
      </text>
    </comment>
    <comment ref="I9" authorId="0" shapeId="0" xr:uid="{00000000-0006-0000-0700-000005000000}">
      <text>
        <r>
          <rPr>
            <b/>
            <sz val="9"/>
            <color indexed="81"/>
            <rFont val="Tahoma"/>
            <family val="2"/>
          </rPr>
          <t>Marco Tognoni:</t>
        </r>
        <r>
          <rPr>
            <sz val="9"/>
            <color indexed="81"/>
            <rFont val="Tahoma"/>
            <family val="2"/>
          </rPr>
          <t xml:space="preserve">
Estimation based on the worst performing apps</t>
        </r>
      </text>
    </comment>
    <comment ref="C18" authorId="0" shapeId="0" xr:uid="{00000000-0006-0000-0700-000006000000}">
      <text>
        <r>
          <rPr>
            <b/>
            <sz val="9"/>
            <color indexed="81"/>
            <rFont val="Tahoma"/>
            <family val="2"/>
          </rPr>
          <t>Marco Tognoni:</t>
        </r>
        <r>
          <rPr>
            <sz val="9"/>
            <color indexed="81"/>
            <rFont val="Tahoma"/>
            <family val="2"/>
          </rPr>
          <t xml:space="preserve">
There are less monthly users using premium services</t>
        </r>
      </text>
    </comment>
    <comment ref="I19" authorId="0" shapeId="0" xr:uid="{00000000-0006-0000-0700-000007000000}">
      <text>
        <r>
          <rPr>
            <b/>
            <sz val="9"/>
            <color indexed="81"/>
            <rFont val="Tahoma"/>
            <family val="2"/>
          </rPr>
          <t>Marco Tognoni:</t>
        </r>
        <r>
          <rPr>
            <sz val="9"/>
            <color indexed="81"/>
            <rFont val="Tahoma"/>
            <family val="2"/>
          </rPr>
          <t xml:space="preserve">
On average, only 1% of users use premium services</t>
        </r>
      </text>
    </comment>
    <comment ref="C28" authorId="0" shapeId="0" xr:uid="{00000000-0006-0000-0700-000008000000}">
      <text>
        <r>
          <rPr>
            <b/>
            <sz val="9"/>
            <color indexed="81"/>
            <rFont val="Tahoma"/>
            <family val="2"/>
          </rPr>
          <t>Marco Tognoni:</t>
        </r>
        <r>
          <rPr>
            <sz val="9"/>
            <color indexed="81"/>
            <rFont val="Tahoma"/>
            <family val="2"/>
          </rPr>
          <t xml:space="preserve">
ratio between number of users and their value in terms of advertising.
Research based on data from similar apps.
</t>
        </r>
      </text>
    </comment>
    <comment ref="C48" authorId="0" shapeId="0" xr:uid="{00000000-0006-0000-0700-000009000000}">
      <text>
        <r>
          <rPr>
            <b/>
            <sz val="9"/>
            <color indexed="81"/>
            <rFont val="Tahoma"/>
            <family val="2"/>
          </rPr>
          <t>Marco Tognoni:</t>
        </r>
        <r>
          <rPr>
            <sz val="9"/>
            <color indexed="81"/>
            <rFont val="Tahoma"/>
            <family val="2"/>
          </rPr>
          <t xml:space="preserve">
Source: Treasure costs calculator</t>
        </r>
      </text>
    </comment>
    <comment ref="I48" authorId="0" shapeId="0" xr:uid="{00000000-0006-0000-0700-00000A000000}">
      <text>
        <r>
          <rPr>
            <b/>
            <sz val="9"/>
            <color indexed="81"/>
            <rFont val="Tahoma"/>
            <family val="2"/>
          </rPr>
          <t>Marco Tognoni:</t>
        </r>
        <r>
          <rPr>
            <sz val="9"/>
            <color indexed="81"/>
            <rFont val="Tahoma"/>
            <family val="2"/>
          </rPr>
          <t xml:space="preserve">
These costs items grow according to the same geometric average curve as the monthly users
</t>
        </r>
      </text>
    </comment>
    <comment ref="C49" authorId="0" shapeId="0" xr:uid="{00000000-0006-0000-0700-00000B000000}">
      <text>
        <r>
          <rPr>
            <b/>
            <sz val="9"/>
            <color indexed="81"/>
            <rFont val="Tahoma"/>
            <family val="2"/>
          </rPr>
          <t>Marco Tognoni:</t>
        </r>
        <r>
          <rPr>
            <sz val="9"/>
            <color indexed="81"/>
            <rFont val="Tahoma"/>
            <family val="2"/>
          </rPr>
          <t xml:space="preserve">
Advisors and Shareholders Remuneration</t>
        </r>
      </text>
    </comment>
    <comment ref="C50" authorId="0" shapeId="0" xr:uid="{00000000-0006-0000-0700-00000C000000}">
      <text>
        <r>
          <rPr>
            <b/>
            <sz val="9"/>
            <color indexed="81"/>
            <rFont val="Tahoma"/>
            <family val="2"/>
          </rPr>
          <t>Marco Tognoni:</t>
        </r>
        <r>
          <rPr>
            <sz val="9"/>
            <color indexed="81"/>
            <rFont val="Tahoma"/>
            <family val="2"/>
          </rPr>
          <t xml:space="preserve">
255 working days multiplied by € 450 per day as a senior developer cost
</t>
        </r>
      </text>
    </comment>
    <comment ref="C51" authorId="0" shapeId="0" xr:uid="{00000000-0006-0000-0700-00000D000000}">
      <text>
        <r>
          <rPr>
            <b/>
            <sz val="9"/>
            <color indexed="81"/>
            <rFont val="Tahoma"/>
            <family val="2"/>
          </rPr>
          <t>Marco Tognoni:</t>
        </r>
        <r>
          <rPr>
            <sz val="9"/>
            <color indexed="81"/>
            <rFont val="Tahoma"/>
            <family val="2"/>
          </rPr>
          <t xml:space="preserve">
Cost of TikTok launch, benchmark for worldwide launch of several instant messaging apps and social networks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Marco Tognoni</author>
  </authors>
  <commentList>
    <comment ref="I6" authorId="0" shapeId="0" xr:uid="{00000000-0006-0000-0900-000001000000}">
      <text>
        <r>
          <rPr>
            <b/>
            <sz val="9"/>
            <color indexed="81"/>
            <rFont val="Tahoma"/>
            <family val="2"/>
          </rPr>
          <t>Marco Tognoni:</t>
        </r>
        <r>
          <rPr>
            <sz val="9"/>
            <color indexed="81"/>
            <rFont val="Tahoma"/>
            <family val="2"/>
          </rPr>
          <t xml:space="preserve">
€ 700 per full time equivalent in 2022, from 2023 the company is expected to purchase the office</t>
        </r>
      </text>
    </comment>
    <comment ref="I15" authorId="0" shapeId="0" xr:uid="{00000000-0006-0000-0900-000002000000}">
      <text>
        <r>
          <rPr>
            <b/>
            <sz val="9"/>
            <color indexed="81"/>
            <rFont val="Tahoma"/>
            <family val="2"/>
          </rPr>
          <t>Marco Tognoni:</t>
        </r>
        <r>
          <rPr>
            <sz val="9"/>
            <color indexed="81"/>
            <rFont val="Tahoma"/>
            <family val="2"/>
          </rPr>
          <t xml:space="preserve">
The Accountant is entirely encharged of finance and administration till 2024, then the function is internalised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Marco Tognoni</author>
  </authors>
  <commentList>
    <comment ref="A8" authorId="0" shapeId="0" xr:uid="{00000000-0006-0000-0A00-000001000000}">
      <text>
        <r>
          <rPr>
            <b/>
            <sz val="9"/>
            <color indexed="81"/>
            <rFont val="Tahoma"/>
            <family val="2"/>
          </rPr>
          <t>Marco Tognoni:</t>
        </r>
        <r>
          <rPr>
            <sz val="9"/>
            <color indexed="81"/>
            <rFont val="Tahoma"/>
            <family val="2"/>
          </rPr>
          <t xml:space="preserve">
Multiplo costo azienda</t>
        </r>
      </text>
    </comment>
    <comment ref="A9" authorId="0" shapeId="0" xr:uid="{00000000-0006-0000-0A00-000002000000}">
      <text>
        <r>
          <rPr>
            <b/>
            <sz val="9"/>
            <color indexed="81"/>
            <rFont val="Tahoma"/>
            <family val="2"/>
          </rPr>
          <t>Marco Tognoni:</t>
        </r>
        <r>
          <rPr>
            <sz val="9"/>
            <color indexed="81"/>
            <rFont val="Tahoma"/>
            <family val="2"/>
          </rPr>
          <t xml:space="preserve">
Quota TFR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Marco Tognoni</author>
  </authors>
  <commentList>
    <comment ref="I6" authorId="0" shapeId="0" xr:uid="{00000000-0006-0000-0B00-000001000000}">
      <text>
        <r>
          <rPr>
            <b/>
            <sz val="9"/>
            <color indexed="81"/>
            <rFont val="Tahoma"/>
            <charset val="1"/>
          </rPr>
          <t>Marco Tognoni:</t>
        </r>
        <r>
          <rPr>
            <sz val="9"/>
            <color indexed="81"/>
            <rFont val="Tahoma"/>
            <charset val="1"/>
          </rPr>
          <t xml:space="preserve">
50% of cah and cash equivalents in 2023 is invested in properties</t>
        </r>
      </text>
    </comment>
    <comment ref="I10" authorId="0" shapeId="0" xr:uid="{00000000-0006-0000-0B00-000002000000}">
      <text>
        <r>
          <rPr>
            <b/>
            <sz val="9"/>
            <color indexed="81"/>
            <rFont val="Tahoma"/>
            <family val="2"/>
          </rPr>
          <t>Marco Tognoni:</t>
        </r>
        <r>
          <rPr>
            <sz val="9"/>
            <color indexed="81"/>
            <rFont val="Tahoma"/>
            <family val="2"/>
          </rPr>
          <t xml:space="preserve">
€ 2.000 per year for each full time equivalent</t>
        </r>
      </text>
    </comment>
  </commentList>
</comments>
</file>

<file path=xl/sharedStrings.xml><?xml version="1.0" encoding="utf-8"?>
<sst xmlns="http://schemas.openxmlformats.org/spreadsheetml/2006/main" count="626" uniqueCount="384">
  <si>
    <t>Closing balance</t>
  </si>
  <si>
    <t>Movement</t>
  </si>
  <si>
    <t>Opening balance</t>
  </si>
  <si>
    <t>Total</t>
  </si>
  <si>
    <t>Date 2</t>
  </si>
  <si>
    <t>Date 1</t>
  </si>
  <si>
    <t>Demo Calc</t>
  </si>
  <si>
    <t>Forecast 1</t>
  </si>
  <si>
    <t>Forecast</t>
  </si>
  <si>
    <t>Annual</t>
  </si>
  <si>
    <t>Template Sheet</t>
  </si>
  <si>
    <t>Costs</t>
  </si>
  <si>
    <t>%</t>
  </si>
  <si>
    <t>Balance Sheet</t>
  </si>
  <si>
    <t>days</t>
  </si>
  <si>
    <t>Funds</t>
  </si>
  <si>
    <t>Payout ratio</t>
  </si>
  <si>
    <t>EBITDA</t>
  </si>
  <si>
    <t>IRES</t>
  </si>
  <si>
    <t>IRAP</t>
  </si>
  <si>
    <t>EBIT</t>
  </si>
  <si>
    <t>check</t>
  </si>
  <si>
    <t>period</t>
  </si>
  <si>
    <t>section</t>
  </si>
  <si>
    <t>start date</t>
  </si>
  <si>
    <t>end date</t>
  </si>
  <si>
    <t>duration</t>
  </si>
  <si>
    <t>Annual</t>
  </si>
  <si>
    <t>Forecast</t>
  </si>
  <si>
    <t>Depreciation</t>
  </si>
  <si>
    <t>VAT</t>
  </si>
  <si>
    <t>TFR</t>
  </si>
  <si>
    <t>Bad debts</t>
  </si>
  <si>
    <t>NOPAT</t>
  </si>
  <si>
    <t xml:space="preserve"> payments</t>
  </si>
  <si>
    <t>Total</t>
  </si>
  <si>
    <t>total</t>
  </si>
  <si>
    <t>https://www.marketsandmarkets.com/Market-Reports/nano-cellulose-market-56392090.html?gclid=Cj0KCQiAk7TuBRDQARIsAMRrfUYsPodn6akVKRf6Nzkc0Mq38O6eDgyHKIyh9hQMeYdwLc1_FALBUQER1</t>
  </si>
  <si>
    <t>https://webthesis.biblio.polito.it/7667/1/tesi.pdf</t>
  </si>
  <si>
    <t>https://www.grandviewresearch.com/industry-analysis/cellulose-ester-market</t>
  </si>
  <si>
    <t>https://www.marketsandmarkets.com/Market-Reports/furfural-market-101056456.html?</t>
  </si>
  <si>
    <t>https://www.globalinforesearch.com/info/global-levulinic-acid-market-2018-forecast-to-2023_i0166.html</t>
  </si>
  <si>
    <t>https://courant.biz/report/gamma-valerolactone-cas-108-29-2-market/6078/</t>
  </si>
  <si>
    <t xml:space="preserve">Big Data sales </t>
  </si>
  <si>
    <t>Premium services sales</t>
  </si>
  <si>
    <t>Media and Advertising activities</t>
  </si>
  <si>
    <t>Correction coefficient</t>
  </si>
  <si>
    <t>Annual turnover for profiling</t>
  </si>
  <si>
    <t>Montlhy users</t>
  </si>
  <si>
    <t>Total Annual Turnover Big Data Sales</t>
  </si>
  <si>
    <t>Monthly users</t>
  </si>
  <si>
    <t>Total Annual Turnover Premium Services Sales</t>
  </si>
  <si>
    <t>Total Annual Turnover Media &amp; Advertising activities</t>
  </si>
  <si>
    <t>Total Annual Revenues</t>
  </si>
  <si>
    <t>Server Costs</t>
  </si>
  <si>
    <t>People Costs</t>
  </si>
  <si>
    <t>Marketing Appropriation Costs</t>
  </si>
  <si>
    <t>Costs of Sales</t>
  </si>
  <si>
    <t xml:space="preserve">Total Annual Costs of Sales </t>
  </si>
  <si>
    <t>Upgrade Costs App</t>
  </si>
  <si>
    <t>Annual Costs</t>
  </si>
  <si>
    <t>Items</t>
  </si>
  <si>
    <t>Office Rent</t>
  </si>
  <si>
    <t>Electricity</t>
  </si>
  <si>
    <t>Other Bills</t>
  </si>
  <si>
    <t>Insurance</t>
  </si>
  <si>
    <t>Sundry Expenses</t>
  </si>
  <si>
    <t>Travel and representation costs</t>
  </si>
  <si>
    <t>Full time equivalent no.</t>
  </si>
  <si>
    <t>HR</t>
  </si>
  <si>
    <t>Legal &amp; Compliance</t>
  </si>
  <si>
    <t>Technology &amp; Development</t>
  </si>
  <si>
    <t>Sales &amp; Marketing</t>
  </si>
  <si>
    <t>€</t>
  </si>
  <si>
    <t>Legal &amp; Compliance Advisory</t>
  </si>
  <si>
    <t>Technology &amp; IT Advisory</t>
  </si>
  <si>
    <t>Accounting and Bookkeeping Advisory</t>
  </si>
  <si>
    <t>percentage of turnover</t>
  </si>
  <si>
    <t>IT Infrastructure Costs</t>
  </si>
  <si>
    <t>growth based on people costs for each type of company function</t>
  </si>
  <si>
    <t>Managers</t>
  </si>
  <si>
    <t>Investments</t>
  </si>
  <si>
    <t>Office property purchase</t>
  </si>
  <si>
    <t>Holding constitution</t>
  </si>
  <si>
    <t>Technology R&amp;D</t>
  </si>
  <si>
    <t>IT Infrastructure Costs Server disaster management</t>
  </si>
  <si>
    <t>Furniture and office material</t>
  </si>
  <si>
    <t>20% dividend share</t>
  </si>
  <si>
    <t>30 days payables and trade receivables</t>
  </si>
  <si>
    <t>Full time equivalent total cost</t>
  </si>
  <si>
    <t>Salary</t>
  </si>
  <si>
    <t>TFR provision</t>
  </si>
  <si>
    <t>Social Security</t>
  </si>
  <si>
    <t>Finance &amp; Administration</t>
  </si>
  <si>
    <t>Total Managers</t>
  </si>
  <si>
    <t>Total Legal &amp; Compliance</t>
  </si>
  <si>
    <t>Total HR</t>
  </si>
  <si>
    <t>Total Technology &amp; Development</t>
  </si>
  <si>
    <t>Total Sales &amp; Marketing</t>
  </si>
  <si>
    <t>Total Finance &amp; Administration</t>
  </si>
  <si>
    <t>Total Salaries</t>
  </si>
  <si>
    <t>Total TFR Provision</t>
  </si>
  <si>
    <t>Total Social Security</t>
  </si>
  <si>
    <t>CAGR 2021-2026</t>
  </si>
  <si>
    <t>Total Gross Profit</t>
  </si>
  <si>
    <t>HP% of Revenues</t>
  </si>
  <si>
    <t>Revenues</t>
  </si>
  <si>
    <t>Computations 1</t>
  </si>
  <si>
    <t>Personnel Costs</t>
  </si>
  <si>
    <t>Salaries</t>
  </si>
  <si>
    <t>Severance Pay Provision</t>
  </si>
  <si>
    <t>Total Annual Service Costs</t>
  </si>
  <si>
    <t>Taxes</t>
  </si>
  <si>
    <t>Fixed Assets</t>
  </si>
  <si>
    <t>Depreciation</t>
  </si>
  <si>
    <t>Untangible Fixed Assets</t>
  </si>
  <si>
    <t>Office Property Purchase</t>
  </si>
  <si>
    <t>Net Working Capital</t>
  </si>
  <si>
    <t>Collection</t>
  </si>
  <si>
    <t>Bad Debt Provision</t>
  </si>
  <si>
    <t>New Account Receivables</t>
  </si>
  <si>
    <t>Collection Days</t>
  </si>
  <si>
    <t>Weighted Average VAT Debt</t>
  </si>
  <si>
    <t>Account Receivables Accruals</t>
  </si>
  <si>
    <t>Payables Accruals account</t>
  </si>
  <si>
    <t>New Account Payables</t>
  </si>
  <si>
    <t>Settlement Days</t>
  </si>
  <si>
    <t>Total VAT Account</t>
  </si>
  <si>
    <t>VAT Account Debt</t>
  </si>
  <si>
    <t>VAT Account Credit</t>
  </si>
  <si>
    <t xml:space="preserve">VAT Account Credit </t>
  </si>
  <si>
    <t>VAT Account Credit (Debt)</t>
  </si>
  <si>
    <t>Bad Debt Provision Fund</t>
  </si>
  <si>
    <t>TFR Fund</t>
  </si>
  <si>
    <t>Provisional Funds</t>
  </si>
  <si>
    <t>Social Security Debt</t>
  </si>
  <si>
    <t>Accruals</t>
  </si>
  <si>
    <t>Settlements</t>
  </si>
  <si>
    <t>Total Social Security Debt</t>
  </si>
  <si>
    <t>VAT is assumed to be settled annually</t>
  </si>
  <si>
    <t>90% of the Social Security Debt is settled yearly</t>
  </si>
  <si>
    <t>Credits in the fund for more than 2 years are depreciated</t>
  </si>
  <si>
    <t>Costs Of Sales</t>
  </si>
  <si>
    <t>Personnel costs</t>
  </si>
  <si>
    <t>Service Costs</t>
  </si>
  <si>
    <t>Extraordinary Items</t>
  </si>
  <si>
    <t>EBT</t>
  </si>
  <si>
    <t>Pre-tax profit</t>
  </si>
  <si>
    <t>IRES taxable amount</t>
  </si>
  <si>
    <t>Accumulated and unused past losses</t>
  </si>
  <si>
    <t>Total losses deducted</t>
  </si>
  <si>
    <t>Taxable amount IRES Actual</t>
  </si>
  <si>
    <t>IRES rate</t>
  </si>
  <si>
    <t>Taxable IRAP</t>
  </si>
  <si>
    <t>IRAP rate</t>
  </si>
  <si>
    <t>Total taxes (IRES + IRAP)</t>
  </si>
  <si>
    <t>Down payment</t>
  </si>
  <si>
    <t>Equalization payment</t>
  </si>
  <si>
    <t>Positive (negative) tax cash flow</t>
  </si>
  <si>
    <t>Taxes of period (exit)</t>
  </si>
  <si>
    <t>Tax receivables (payables)</t>
  </si>
  <si>
    <t>Cash flow from taxes</t>
  </si>
  <si>
    <t>Interest Expenses</t>
  </si>
  <si>
    <t>Total IRES</t>
  </si>
  <si>
    <t>Total IRAP</t>
  </si>
  <si>
    <t>Previous losses of the previous tax year</t>
  </si>
  <si>
    <t>Social Security Credits (Debts)</t>
  </si>
  <si>
    <t>VAT Account</t>
  </si>
  <si>
    <t>Tangible Fixed Assets</t>
  </si>
  <si>
    <t>Total Fixed Assets</t>
  </si>
  <si>
    <t>Computations 2</t>
  </si>
  <si>
    <t>Balance Sheet</t>
  </si>
  <si>
    <t>Costs</t>
  </si>
  <si>
    <t>Equity</t>
  </si>
  <si>
    <t>Shareholders' Equity</t>
  </si>
  <si>
    <t>Reserves</t>
  </si>
  <si>
    <t>Profit (Loss) brought forward</t>
  </si>
  <si>
    <t>Profit (Loss) of the year</t>
  </si>
  <si>
    <t>Dividends</t>
  </si>
  <si>
    <t>Profit &amp; Loss Account</t>
  </si>
  <si>
    <t>Equity Injection</t>
  </si>
  <si>
    <t>Total Yearly Distributed Dividends</t>
  </si>
  <si>
    <t>% Shareholders' Equity</t>
  </si>
  <si>
    <t>% Reserves</t>
  </si>
  <si>
    <t>Cash Flow Statement</t>
  </si>
  <si>
    <t>Long Term Debt</t>
  </si>
  <si>
    <t>Long Term Debt Injection</t>
  </si>
  <si>
    <t>Total Revenues</t>
  </si>
  <si>
    <t>Intangible Fixed Assets</t>
  </si>
  <si>
    <t>LinkMeEasy - ACTION PLAN 2020</t>
  </si>
  <si>
    <t>Description</t>
  </si>
  <si>
    <t>BUDGET 12 months (€)</t>
  </si>
  <si>
    <t>Temporary Manager 50% Founder or Strategic Marketing Expert (Coordinator)</t>
  </si>
  <si>
    <t>Temporary Manager 50% IT - CTO engineer</t>
  </si>
  <si>
    <t>Temporary Manager 75% Senior Agile Project Manager - Scrum</t>
  </si>
  <si>
    <t>Temporary Manager 50% Software iOs / Android Engeneer - Azure Engeneer</t>
  </si>
  <si>
    <t>Temporary Manager 50% Responsible as UI-UX / Designer</t>
  </si>
  <si>
    <t>DPO (Privacy)</t>
  </si>
  <si>
    <t>Legal</t>
  </si>
  <si>
    <t>Temporary Manager 50% Press Office equipped with Social Media Manager (main supplier)</t>
  </si>
  <si>
    <t>TOTAL MANAGEMENT TEAM</t>
  </si>
  <si>
    <t>Launch Costs</t>
  </si>
  <si>
    <t>5% 2023 10% 2024 employee production bonus</t>
  </si>
  <si>
    <t>% Employees production Bonus</t>
  </si>
  <si>
    <t>IRR 2021-2026</t>
  </si>
  <si>
    <t>Employees production costs</t>
  </si>
  <si>
    <t>Net Income for full time equivalent</t>
  </si>
  <si>
    <t>Total Chiefs</t>
  </si>
  <si>
    <t>Chiefs</t>
  </si>
  <si>
    <t>The first 3 sheets highlighted in green are the final output containing the 3 parts of the forecasted financial statement (Cashflow Statement, Balance Sheet and Pofil and Loss Account)</t>
  </si>
  <si>
    <t>TEMPLATE</t>
  </si>
  <si>
    <t>The sheets highlighted in orange contain the necessary computations to fill the 3 statements in the green sheets</t>
  </si>
  <si>
    <t>The sheets highlighted in lightblue contain all the assumptions of the business plan, and are divided according to the P&amp;L item they concern (ex. Revenues, investments, ...)</t>
  </si>
  <si>
    <t>ASSUMPTIONS</t>
  </si>
  <si>
    <t>Big Data Sales</t>
  </si>
  <si>
    <t>Coefficient for Big Data Sales. Its the ratio between users and the economic value extracted by them. Constant over time. Derived from Twitter, Instagram, TikTok sales</t>
  </si>
  <si>
    <t>It starts from 1,7 in 2021, and in the following years is calculated as the geometric average of the year before and a final value of 18,5, close to the one of Facebook, equal to 19</t>
  </si>
  <si>
    <t>By analyzing other similar apps, we assume only 1% of users apply for premium services</t>
  </si>
  <si>
    <t>Correction coefficient and Monthly users</t>
  </si>
  <si>
    <t>It starts from 1 in 2021, and in the following years is calculated as the geometric average of the year before and a final value of 18,5, close to the one of Facebook, equal to 19</t>
  </si>
  <si>
    <t>Ratio between number of users and their value in terms of advertising, equal to 0.04. Research based on data from similar apps. The number of monthly users is the same of Big Data Sales</t>
  </si>
  <si>
    <t>For 2021 is based on the Source: Treasure costs calculator. For the following years the grow using the same geometric average of the monthly users</t>
  </si>
  <si>
    <t>For 2021 is calculated by considering 255 working days multiplied by € 450 per day as a senior developer cost. For the following years the grow using the same geometric average of the monthly users</t>
  </si>
  <si>
    <t>For 2021 is calculated by considering the cost of TikTok launch, benchmark for worldwide launch of several instant messaging apps and social networks. For the following years the grow using the same geometric average of the monthly users</t>
  </si>
  <si>
    <t>They are those of the management team in 2021, that have been capitalized, calculated considering the annaula salaries of senior managers. Other items have already been included in "Costs of Sales" and "Annual Costs"</t>
  </si>
  <si>
    <t>€ 700 for full time equivalent in 2022, from 2023 the company is assumed to purchase the office, thus this item is not present anymore</t>
  </si>
  <si>
    <t>The assumption is the% of total revenues specified in column I of the sheet "Annual Costs"</t>
  </si>
  <si>
    <t>The assumption is the% of total revenues specified in column I of the sheet "Annual Costs". This items disappears in 2025 and 2026 as the function becomes internal to the company and therefore considered in Personnel Costs</t>
  </si>
  <si>
    <t>3 Full-time equivalents with average Company cost of € 50.000 each, their number grows according to the initial estimated personnel costs CAGR reported in the sheet "Revenues and Costs of Sales", cell K49</t>
  </si>
  <si>
    <t>15 Full-time equivalents with average Company cost of € 35.000 each, their number grows according to the initial estimated personnel costs CAGR reported in the sheet "Revenues and Costs of Sales", cell K49</t>
  </si>
  <si>
    <t>20 Full-time equivalents with average Company cost of € 50.000 each, their number grows according to the initial estimated personnel costs CAGR reported in the sheet "Revenues and Costs of Sales", cell K49</t>
  </si>
  <si>
    <t>2 Full-time equivalents with average Company cost of € 35.000 each, their number grows according to the initial estimated personnel costs CAGR reported in the sheet "Revenues and Costs of Sales", cell K49</t>
  </si>
  <si>
    <t>1 Full-time equivalents with average Company cost of € 50.000 each, their number grows according to the initial estimated personnel costs CAGR reported in the sheet "Revenues and Costs of Sales", cell K49</t>
  </si>
  <si>
    <t>5 Full-time equivalents with average Company cost of € 60.000 each, their number grows according to the initial estimated personnel costs CAGR reported in the sheet "Revenues and Costs of Sales", cell K49</t>
  </si>
  <si>
    <t>6 Full-time equivalents with average Company cost of € 80.000 each, their number grows to 8 in 2024 and 10 in 2025. Their Company cost grows at the total Revenues CAGR reported in the sheet "Revenues and Costs of Sales", cell K35</t>
  </si>
  <si>
    <t>50% of cah and cash equivalents in 2023 is assumed to be invested in office properties</t>
  </si>
  <si>
    <t>Assumed to be equal to € 50,000 and it occurs in the same year of the office property purchase</t>
  </si>
  <si>
    <t>Assumed to be equal to € 2,000 per year for each full time equivalent from 2022</t>
  </si>
  <si>
    <t>Calculated as the% of Total Revenues reported in column I of the sheet "Investments" from 2022</t>
  </si>
  <si>
    <t>Calculated as the% of Total Revenues reported in column I of the sheet "Investments" from 2021</t>
  </si>
  <si>
    <t>VAT</t>
  </si>
  <si>
    <t>Depreciation Yearly Rate</t>
  </si>
  <si>
    <t>The specific Depreciation Yearly Rate% according to the Italian financial statements regulation is applied for each fixed assets item</t>
  </si>
  <si>
    <t>Account Receivables Collection Days</t>
  </si>
  <si>
    <t>30 days for the whole time-period considered</t>
  </si>
  <si>
    <t>Payables Settlement Days Account</t>
  </si>
  <si>
    <t>The specific VAT% according to the Italian fiscal system is applied for each cost and revenue item. The VAT Account is assumed to be settled yearly</t>
  </si>
  <si>
    <t>Every year, 1% of the Account Receivables are put in the Bad Debt Provision Fund, and are considered to be sunk costs after 2 years</t>
  </si>
  <si>
    <t>90% of the debt derived from Social security for employees is assumed to be settled yearly</t>
  </si>
  <si>
    <t>Equity Classification</t>
  </si>
  <si>
    <t>Dividends Payout Ratio</t>
  </si>
  <si>
    <t>Employees Yearly Production Bonus</t>
  </si>
  <si>
    <t xml:space="preserve">The line 109 of this sheet contains the amount of capital that is necessary every year to run the business </t>
  </si>
  <si>
    <t>10% of the equity Injection is assumed to be Shareholders' Capital and the remaining 90% is classified as Reserves</t>
  </si>
  <si>
    <t>assumed equal to 20% of the previous year Net Income in 2023, 30% from 2024 onwards</t>
  </si>
  <si>
    <t>assumed equal to 5% of the available cash in 2023, 10% from 2024 onwards</t>
  </si>
  <si>
    <t>Please note that, all over the business plan model, the cells containing blue numbers are the Input Assumptions and are the only ones that can be modified to make sensitivity and other analyzes, whilst all the cells containing black numbers are formula necessary for the model to run correctly</t>
  </si>
  <si>
    <t>Estimation based on the worst performing apps for 2021, and for the following years is assumed to increase at a growth rate extracted by that of other similar applications</t>
  </si>
  <si>
    <t>ASSUMPTIONS PREMISE</t>
  </si>
  <si>
    <t>SOURCES</t>
  </si>
  <si>
    <t xml:space="preserve">The assumptions below are based to the fact that there are currently around 3,5 bln. monthly users that use instant mesaging apps (ex. WhatsApp, Telegram, QQ, WeChat ...), around 500 mln. that actively use social networks (ex. LinkedIn, Facebook, Instagram, TikTok, Pinterest, Badoo ...) and other 1 bln. users that use only email acconts and, for personal choice, do not use either instant messaging apps or social networks. It is also worth mentioning that the numbers reported above do not overlap with each other, so their make up for a sum of potential users that amonts to around 5 bln. Therefore, our assumption to achieve around 5 mln. users during the first years seems realistic. Source: https://www.messengerpeople.com/global-messenger-usage-statistics/ (For additional sources of the data above look column L in the "
</t>
  </si>
  <si>
    <t>RAU comparison</t>
  </si>
  <si>
    <t>Depreciation and provisions</t>
  </si>
  <si>
    <t>Production value</t>
  </si>
  <si>
    <t>Profit for the year</t>
  </si>
  <si>
    <t>Receivables from customers</t>
  </si>
  <si>
    <t>Cumulative corporate cash</t>
  </si>
  <si>
    <t xml:space="preserve">Capital invested </t>
  </si>
  <si>
    <t>Breakdown of revenues by type</t>
  </si>
  <si>
    <t xml:space="preserve">Capital invested </t>
  </si>
  <si>
    <t>Sale of premium services</t>
  </si>
  <si>
    <t>Big data sale</t>
  </si>
  <si>
    <t>Advertising and marketing activities</t>
  </si>
  <si>
    <t>Revenue breakdown in 2021</t>
  </si>
  <si>
    <t>Revenue breakdown in 2026</t>
  </si>
  <si>
    <t>AF evolution</t>
  </si>
  <si>
    <t>EBITDA / EBT comparison</t>
  </si>
  <si>
    <t>CI / AP coverage</t>
  </si>
  <si>
    <t>Net assets</t>
  </si>
  <si>
    <t>Total passivity</t>
  </si>
  <si>
    <t>AI / AC ratio</t>
  </si>
  <si>
    <t>Net working capital</t>
  </si>
  <si>
    <t>Active Immobilized</t>
  </si>
  <si>
    <t>PN / RML</t>
  </si>
  <si>
    <t>Long-term debt</t>
  </si>
  <si>
    <t>Corporate Solvency</t>
  </si>
  <si>
    <t>Liquidity plus short-term assets</t>
  </si>
  <si>
    <t>Short-term liabilities</t>
  </si>
  <si>
    <t>Long-term debt to banks</t>
  </si>
  <si>
    <t>Summary indices</t>
  </si>
  <si>
    <t>NFP / EBITDA</t>
  </si>
  <si>
    <t>CE structure</t>
  </si>
  <si>
    <t>Net income</t>
  </si>
  <si>
    <t>Operating costs</t>
  </si>
  <si>
    <t xml:space="preserve">Year </t>
  </si>
  <si>
    <t>Reason</t>
  </si>
  <si>
    <t>Purchase of office buildings</t>
  </si>
  <si>
    <t>Establishment of the holding company</t>
  </si>
  <si>
    <t>Technological R&amp;D</t>
  </si>
  <si>
    <t>IT infrastructure costs &amp; disaster management</t>
  </si>
  <si>
    <t>Office furniture and materials</t>
  </si>
  <si>
    <t>From 2022 to the end of the plan</t>
  </si>
  <si>
    <t>Amount €</t>
  </si>
  <si>
    <t>Investments</t>
  </si>
  <si>
    <t>Net invested capital</t>
  </si>
  <si>
    <t>Tangible fixed assets</t>
  </si>
  <si>
    <t>Intangible assets</t>
  </si>
  <si>
    <t>Total CAPEX</t>
  </si>
  <si>
    <t>Commercial credits</t>
  </si>
  <si>
    <t>Commercial debts</t>
  </si>
  <si>
    <t>VAT balance</t>
  </si>
  <si>
    <t>Tax receivables (payables)</t>
  </si>
  <si>
    <t>Social security credits (debts)</t>
  </si>
  <si>
    <t>Other Receivables (Payables) or Funds</t>
  </si>
  <si>
    <t>Other Items of Invested Capital</t>
  </si>
  <si>
    <t>Sources</t>
  </si>
  <si>
    <t>Share capital</t>
  </si>
  <si>
    <t>Reserves</t>
  </si>
  <si>
    <t>Profit (loss) carried forward</t>
  </si>
  <si>
    <t>Profit (loss) for the year</t>
  </si>
  <si>
    <t>Dividends</t>
  </si>
  <si>
    <t>Total Net Equity</t>
  </si>
  <si>
    <t>Payables to LT</t>
  </si>
  <si>
    <t>Payables to LV (Cash)</t>
  </si>
  <si>
    <t>NFP</t>
  </si>
  <si>
    <t>Financial statement</t>
  </si>
  <si>
    <t>Depreciation</t>
  </si>
  <si>
    <t>Taxes</t>
  </si>
  <si>
    <t>Extraordinary management</t>
  </si>
  <si>
    <t>Change in Net Working Capital</t>
  </si>
  <si>
    <t>CAPEX variation</t>
  </si>
  <si>
    <t>Change in other items of invested capital</t>
  </si>
  <si>
    <t>Operating Cash Flow</t>
  </si>
  <si>
    <t>Financial income (charges)</t>
  </si>
  <si>
    <t>Cash Flow Financial Management</t>
  </si>
  <si>
    <t>Long-term debt change</t>
  </si>
  <si>
    <t>Capital increase (dividend distribution)</t>
  </si>
  <si>
    <t>Positive (Negative) Cash Flow for the period</t>
  </si>
  <si>
    <t>Initial Short-Term Debt (Cash)</t>
  </si>
  <si>
    <t>Final Short Term (Cash) Debt</t>
  </si>
  <si>
    <t>Income statement</t>
  </si>
  <si>
    <t>Revenues</t>
  </si>
  <si>
    <t xml:space="preserve">Big Sata sale </t>
  </si>
  <si>
    <t xml:space="preserve">Premium Services Sale </t>
  </si>
  <si>
    <t>Marketing &amp; Advertising Activities</t>
  </si>
  <si>
    <t>Costs of sales</t>
  </si>
  <si>
    <t xml:space="preserve">Server Costs </t>
  </si>
  <si>
    <t xml:space="preserve">Upgrading Costs App </t>
  </si>
  <si>
    <t xml:space="preserve">Costs Appropriation Marketing </t>
  </si>
  <si>
    <t>Staff costs</t>
  </si>
  <si>
    <t xml:space="preserve"> Wages &amp; Salaries</t>
  </si>
  <si>
    <t>Social Security institutions</t>
  </si>
  <si>
    <t>Employee Production Awards</t>
  </si>
  <si>
    <t>Costs for Services</t>
  </si>
  <si>
    <t>Offices lease</t>
  </si>
  <si>
    <t>Utilities</t>
  </si>
  <si>
    <t>IT infrastructure costs</t>
  </si>
  <si>
    <t>Other Costs for Services</t>
  </si>
  <si>
    <t>Insurance</t>
  </si>
  <si>
    <t>Travel, Transfers and Representation</t>
  </si>
  <si>
    <t>Legal and Compliance Consultancy</t>
  </si>
  <si>
    <t>IT consultancy</t>
  </si>
  <si>
    <t>Accounting &amp; Tax Consultancy</t>
  </si>
  <si>
    <t>Various Management Charges</t>
  </si>
  <si>
    <t>Ebitda margin%</t>
  </si>
  <si>
    <t>Allocations to the bad debt provision</t>
  </si>
  <si>
    <t>Severance indemnity provisions</t>
  </si>
  <si>
    <t>Ebit margin%</t>
  </si>
  <si>
    <t>Extraordinary income (charges)</t>
  </si>
  <si>
    <t>Net profit (loss) for the year</t>
  </si>
  <si>
    <t xml:space="preserve">Net Profit Margin% </t>
  </si>
  <si>
    <t>NFP / SHAREHOLDERS 'EQUITY</t>
  </si>
  <si>
    <t>REVENUES GROWTH RATE%</t>
  </si>
  <si>
    <t>EBITDA MARGIN%</t>
  </si>
  <si>
    <t>Administrative staff</t>
  </si>
  <si>
    <t>Marketing, Social Media and Press Office staff</t>
  </si>
  <si>
    <t>IT &amp; Software Engineering Staff</t>
  </si>
  <si>
    <t>Legal &amp; Privacy Staff</t>
  </si>
  <si>
    <t>Marketing Appropriation</t>
  </si>
  <si>
    <t>Server</t>
  </si>
  <si>
    <t>App implementations</t>
  </si>
  <si>
    <t>Data Set: Dummy data set 1.001</t>
  </si>
  <si>
    <t>Version: 27.001.006 | dd Apr yy 12:58</t>
  </si>
  <si>
    <t>LME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</si>
</sst>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3" formatCode="_-* #,##0.00_-;\-* #,##0.00_-;_-* &quot;-&quot;??_-;_-@_-"/>
    <numFmt numFmtId="164" formatCode="_-* #,##0.00\ _€_-;\-* #,##0.00\ _€_-;_-* &quot;-&quot;??\ _€_-;_-@_-"/>
    <numFmt numFmtId="165" formatCode="&quot;£&quot;* #,##0_);[Red]&quot;£&quot;* \(#,##0\);&quot;£&quot;* &quot;-&quot;_);[Blue]&quot;Error-&quot;@"/>
    <numFmt numFmtId="166" formatCode="#,##0_);[Red]\(#,##0\);&quot;-&quot;_);[Blue]&quot;Error-&quot;@"/>
    <numFmt numFmtId="167" formatCode="_-* #,##0_-;\-* #,##0_-;_-* &quot;-&quot;??_-;_-@_-"/>
    <numFmt numFmtId="168" formatCode="_-* #,##0.0_-;\-* #,##0.0_-;_-* &quot;-&quot;??_-;_-@_-"/>
    <numFmt numFmtId="169" formatCode="#,##0;[Red]\(#,##0\)"/>
    <numFmt numFmtId="170" formatCode="0.0%"/>
    <numFmt numFmtId="171" formatCode="#,##0.00_ ;[Red]\-#,##0.00\ "/>
    <numFmt numFmtId="172" formatCode="#,##0_ ;[Red]\-#,##0\ "/>
    <numFmt numFmtId="173" formatCode="_-* #,##0\ _€_-;\-* #,##0\ _€_-;_-* &quot;-&quot;??\ _€_-;_-@_-"/>
    <numFmt numFmtId="174" formatCode="_-* #,##0.00\ [$€-410]_-;\-* #,##0.00\ [$€-410]_-;_-* &quot;-&quot;??\ [$€-410]_-;_-@_-"/>
    <numFmt numFmtId="175" formatCode="#,##0.00_ ;\-#,##0.00\ "/>
    <numFmt numFmtId="176" formatCode="_-* #,##0\ _€_-;\-* #,##0\ _€_-;_-* &quot;-&quot;?\ _€_-;_-@_-"/>
    <numFmt numFmtId="177" formatCode="#,##0.0"/>
    <numFmt numFmtId="178" formatCode="#,##0.000"/>
    <numFmt numFmtId="179" formatCode="#,##0_);[Red]\(#,##0\);\-_);[Blue]&quot;Error-&quot;@"/>
    <numFmt numFmtId="180" formatCode="\£* #,##0_);[Red]\£* \(#,##0\);\£* \-_);[Blue]&quot;Error-&quot;@"/>
    <numFmt numFmtId="181" formatCode="[$-409]d\-mmm\-yy"/>
    <numFmt numFmtId="182" formatCode="_-* #,##0.00_-;\-* #,##0.00_-;_-* \-??_-;_-@_-"/>
    <numFmt numFmtId="183" formatCode="#,##0.00;[Red]\(#,##0.00\)"/>
    <numFmt numFmtId="184" formatCode="#,##0_ ;\-#,##0\ "/>
    <numFmt numFmtId="185" formatCode="&quot;€&quot;\ #,##0"/>
  </numFmts>
  <fonts count="45" x14ac:knownFonts="1">
    <font>
      <sz val="9"/>
      <name val="Arial"/>
    </font>
    <font>
      <b/>
      <sz val="9"/>
      <name val="Arial"/>
      <family val="2"/>
    </font>
    <font>
      <sz val="9"/>
      <name val="Arial"/>
      <family val="2"/>
    </font>
    <font>
      <i/>
      <u/>
      <sz val="9"/>
      <color indexed="12"/>
      <name val="Arial"/>
      <family val="2"/>
    </font>
    <font>
      <sz val="12"/>
      <color indexed="9"/>
      <name val="Arial"/>
      <family val="2"/>
    </font>
    <font>
      <sz val="7"/>
      <name val="Arial"/>
      <family val="2"/>
    </font>
    <font>
      <i/>
      <sz val="8"/>
      <color indexed="62"/>
      <name val="Arial"/>
      <family val="2"/>
    </font>
    <font>
      <b/>
      <sz val="12"/>
      <color indexed="9"/>
      <name val="Arial"/>
      <family val="2"/>
    </font>
    <font>
      <i/>
      <sz val="9"/>
      <name val="Arial"/>
      <family val="2"/>
    </font>
    <font>
      <sz val="9"/>
      <name val="Arial"/>
      <family val="2"/>
    </font>
    <font>
      <sz val="9"/>
      <name val="Arial"/>
      <family val="2"/>
    </font>
    <font>
      <sz val="8"/>
      <name val="Arial"/>
      <family val="2"/>
    </font>
    <font>
      <sz val="9"/>
      <name val="Arial"/>
      <family val="2"/>
    </font>
    <font>
      <sz val="9"/>
      <color indexed="81"/>
      <name val="Tahoma"/>
      <family val="2"/>
    </font>
    <font>
      <b/>
      <sz val="9"/>
      <color indexed="81"/>
      <name val="Tahoma"/>
      <family val="2"/>
    </font>
    <font>
      <b/>
      <sz val="18"/>
      <name val="Calibri"/>
      <family val="2"/>
    </font>
    <font>
      <b/>
      <sz val="14"/>
      <color indexed="9"/>
      <name val="Calibri"/>
      <family val="2"/>
    </font>
    <font>
      <sz val="14"/>
      <name val="Calibri"/>
      <family val="2"/>
    </font>
    <font>
      <b/>
      <sz val="14"/>
      <name val="Calibri"/>
      <family val="2"/>
    </font>
    <font>
      <sz val="9"/>
      <color indexed="81"/>
      <name val="Tahoma"/>
      <charset val="1"/>
    </font>
    <font>
      <b/>
      <sz val="9"/>
      <color indexed="81"/>
      <name val="Tahoma"/>
      <charset val="1"/>
    </font>
    <font>
      <b/>
      <i/>
      <u/>
      <sz val="9"/>
      <name val="Arial"/>
      <family val="2"/>
    </font>
    <font>
      <u/>
      <sz val="9"/>
      <name val="Arial"/>
      <family val="2"/>
    </font>
    <font>
      <b/>
      <u/>
      <sz val="9"/>
      <name val="Arial"/>
      <family val="2"/>
    </font>
    <font>
      <sz val="11"/>
      <color theme="1"/>
      <name val="Calibri"/>
      <family val="2"/>
      <scheme val="minor"/>
    </font>
    <font>
      <i/>
      <u/>
      <sz val="9"/>
      <color rgb="FF0000FF"/>
      <name val="Arial"/>
      <family val="2"/>
    </font>
    <font>
      <sz val="12"/>
      <color rgb="FFFFFFFF"/>
      <name val="Arial"/>
      <family val="2"/>
    </font>
    <font>
      <i/>
      <sz val="8"/>
      <color rgb="FF333399"/>
      <name val="Arial"/>
      <family val="2"/>
    </font>
    <font>
      <sz val="9"/>
      <color rgb="FF00B050"/>
      <name val="Arial"/>
      <family val="2"/>
    </font>
    <font>
      <sz val="9"/>
      <color rgb="FF0070C0"/>
      <name val="Arial"/>
      <family val="2"/>
    </font>
    <font>
      <i/>
      <sz val="9"/>
      <color theme="5"/>
      <name val="Arial"/>
      <family val="2"/>
    </font>
    <font>
      <sz val="9"/>
      <color theme="1"/>
      <name val="Arial"/>
      <family val="2"/>
    </font>
    <font>
      <b/>
      <sz val="9"/>
      <color theme="1"/>
      <name val="Arial"/>
      <family val="2"/>
    </font>
    <font>
      <b/>
      <sz val="9"/>
      <color rgb="FF0070C0"/>
      <name val="Arial"/>
      <family val="2"/>
    </font>
    <font>
      <b/>
      <sz val="9"/>
      <color theme="0"/>
      <name val="Arial"/>
      <family val="2"/>
    </font>
    <font>
      <sz val="9"/>
      <color theme="4"/>
      <name val="Arial"/>
      <family val="2"/>
    </font>
    <font>
      <i/>
      <sz val="9"/>
      <color theme="1"/>
      <name val="Arial"/>
      <family val="2"/>
    </font>
    <font>
      <sz val="9"/>
      <color theme="2" tint="-0.749992370372631"/>
      <name val="Arial"/>
      <family val="2"/>
    </font>
    <font>
      <b/>
      <sz val="9"/>
      <color theme="2" tint="-0.749992370372631"/>
      <name val="Arial"/>
      <family val="2"/>
    </font>
    <font>
      <b/>
      <sz val="9"/>
      <color rgb="FF00B050"/>
      <name val="Arial"/>
      <family val="2"/>
    </font>
    <font>
      <sz val="9"/>
      <color theme="1" tint="0.14999847407452621"/>
      <name val="Arial"/>
      <family val="2"/>
    </font>
    <font>
      <b/>
      <sz val="9"/>
      <color theme="1" tint="0.14999847407452621"/>
      <name val="Arial"/>
      <family val="2"/>
    </font>
    <font>
      <i/>
      <sz val="9"/>
      <color theme="1" tint="0.14999847407452621"/>
      <name val="Arial"/>
      <family val="2"/>
    </font>
    <font>
      <sz val="14"/>
      <color rgb="FF000000"/>
      <name val="Calibri"/>
      <family val="2"/>
    </font>
    <font>
      <sz val="9"/>
      <color theme="9" tint="0.59999389629810485"/>
      <name val="Arial"/>
      <family val="2"/>
    </font>
  </fonts>
  <fills count="21">
    <fill>
      <patternFill patternType="none"/>
    </fill>
    <fill>
      <patternFill patternType="gray125"/>
    </fill>
    <fill>
      <patternFill patternType="solid">
        <fgColor indexed="18"/>
      </patternFill>
    </fill>
    <fill>
      <patternFill patternType="solid">
        <fgColor indexed="12"/>
        <bgColor indexed="64"/>
      </patternFill>
    </fill>
    <fill>
      <patternFill patternType="solid">
        <fgColor rgb="FF000080"/>
        <bgColor rgb="FF000080"/>
      </patternFill>
    </fill>
    <fill>
      <patternFill patternType="solid">
        <fgColor theme="9"/>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4" tint="0.79998168889431442"/>
        <bgColor indexed="64"/>
      </patternFill>
    </fill>
    <fill>
      <patternFill patternType="solid">
        <fgColor theme="2"/>
        <bgColor indexed="64"/>
      </patternFill>
    </fill>
    <fill>
      <patternFill patternType="solid">
        <fgColor theme="4" tint="-0.249977111117893"/>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5"/>
        <bgColor indexed="64"/>
      </patternFill>
    </fill>
    <fill>
      <patternFill patternType="solid">
        <fgColor theme="7" tint="0.59999389629810485"/>
        <bgColor indexed="64"/>
      </patternFill>
    </fill>
  </fills>
  <borders count="46">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theme="0"/>
      </top>
      <bottom/>
      <diagonal/>
    </border>
    <border>
      <left style="thin">
        <color indexed="64"/>
      </left>
      <right style="thick">
        <color theme="0"/>
      </right>
      <top style="thin">
        <color theme="0"/>
      </top>
      <bottom style="thick">
        <color theme="0"/>
      </bottom>
      <diagonal/>
    </border>
    <border>
      <left/>
      <right/>
      <top/>
      <bottom style="thin">
        <color theme="0" tint="-0.499984740745262"/>
      </bottom>
      <diagonal/>
    </border>
    <border>
      <left/>
      <right/>
      <top/>
      <bottom style="thick">
        <color theme="0"/>
      </bottom>
      <diagonal/>
    </border>
    <border>
      <left style="thick">
        <color theme="0"/>
      </left>
      <right style="thick">
        <color theme="0"/>
      </right>
      <top style="thick">
        <color theme="0"/>
      </top>
      <bottom style="thick">
        <color theme="0"/>
      </bottom>
      <diagonal/>
    </border>
    <border>
      <left style="thin">
        <color indexed="64"/>
      </left>
      <right/>
      <top style="thin">
        <color theme="0"/>
      </top>
      <bottom style="thick">
        <color theme="0"/>
      </bottom>
      <diagonal/>
    </border>
    <border>
      <left style="thin">
        <color indexed="64"/>
      </left>
      <right style="thin">
        <color theme="0"/>
      </right>
      <top style="thick">
        <color theme="0"/>
      </top>
      <bottom style="thick">
        <color theme="0"/>
      </bottom>
      <diagonal/>
    </border>
    <border>
      <left style="thin">
        <color indexed="64"/>
      </left>
      <right/>
      <top style="thick">
        <color theme="0"/>
      </top>
      <bottom style="thick">
        <color theme="0"/>
      </bottom>
      <diagonal/>
    </border>
    <border>
      <left/>
      <right/>
      <top style="thick">
        <color theme="0"/>
      </top>
      <bottom/>
      <diagonal/>
    </border>
    <border>
      <left/>
      <right/>
      <top style="thin">
        <color theme="0" tint="-0.499984740745262"/>
      </top>
      <bottom/>
      <diagonal/>
    </border>
    <border>
      <left/>
      <right/>
      <top style="thick">
        <color theme="0"/>
      </top>
      <bottom style="thick">
        <color theme="0"/>
      </bottom>
      <diagonal/>
    </border>
    <border>
      <left/>
      <right/>
      <top style="thin">
        <color theme="0" tint="-0.499984740745262"/>
      </top>
      <bottom style="thick">
        <color theme="0"/>
      </bottom>
      <diagonal/>
    </border>
    <border>
      <left/>
      <right style="medium">
        <color theme="0"/>
      </right>
      <top/>
      <bottom/>
      <diagonal/>
    </border>
    <border>
      <left/>
      <right/>
      <top/>
      <bottom style="thin">
        <color theme="1"/>
      </bottom>
      <diagonal/>
    </border>
    <border>
      <left style="medium">
        <color theme="0"/>
      </left>
      <right style="medium">
        <color theme="0"/>
      </right>
      <top style="medium">
        <color theme="0"/>
      </top>
      <bottom style="medium">
        <color theme="0"/>
      </bottom>
      <diagonal/>
    </border>
    <border>
      <left style="thin">
        <color theme="0"/>
      </left>
      <right/>
      <top style="thin">
        <color theme="0"/>
      </top>
      <bottom style="thin">
        <color theme="0"/>
      </bottom>
      <diagonal/>
    </border>
    <border>
      <left/>
      <right/>
      <top/>
      <bottom style="thin">
        <color theme="0"/>
      </bottom>
      <diagonal/>
    </border>
    <border>
      <left style="thin">
        <color indexed="64"/>
      </left>
      <right style="thin">
        <color indexed="64"/>
      </right>
      <top style="thin">
        <color indexed="64"/>
      </top>
      <bottom style="thin">
        <color theme="0"/>
      </bottom>
      <diagonal/>
    </border>
    <border>
      <left/>
      <right style="thin">
        <color indexed="64"/>
      </right>
      <top style="thin">
        <color indexed="64"/>
      </top>
      <bottom style="thin">
        <color theme="0"/>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top style="thin">
        <color theme="0"/>
      </top>
      <bottom/>
      <diagonal/>
    </border>
    <border>
      <left/>
      <right/>
      <top style="thin">
        <color theme="0"/>
      </top>
      <bottom style="thin">
        <color indexed="64"/>
      </bottom>
      <diagonal/>
    </border>
  </borders>
  <cellStyleXfs count="20">
    <xf numFmtId="0" fontId="0" fillId="0" borderId="0"/>
    <xf numFmtId="166" fontId="2" fillId="0" borderId="0"/>
    <xf numFmtId="179" fontId="2" fillId="0" borderId="0"/>
    <xf numFmtId="165" fontId="2" fillId="0" borderId="0"/>
    <xf numFmtId="180" fontId="2" fillId="0" borderId="0"/>
    <xf numFmtId="0" fontId="3" fillId="0" borderId="0" applyNumberFormat="0" applyFill="0" applyBorder="0" applyAlignment="0" applyProtection="0">
      <alignment vertical="top"/>
      <protection locked="0"/>
    </xf>
    <xf numFmtId="0" fontId="25" fillId="0" borderId="0" applyBorder="0" applyAlignment="0" applyProtection="0"/>
    <xf numFmtId="0" fontId="26" fillId="4" borderId="0">
      <alignment vertical="center"/>
    </xf>
    <xf numFmtId="0" fontId="6" fillId="0" borderId="0"/>
    <xf numFmtId="0" fontId="27" fillId="0" borderId="0"/>
    <xf numFmtId="43" fontId="24" fillId="0" borderId="0" applyFont="0" applyFill="0" applyBorder="0" applyAlignment="0" applyProtection="0"/>
    <xf numFmtId="182" fontId="2" fillId="0" borderId="0" applyBorder="0" applyAlignment="0" applyProtection="0"/>
    <xf numFmtId="0" fontId="2" fillId="0" borderId="0"/>
    <xf numFmtId="9" fontId="24" fillId="0" borderId="0" applyFont="0" applyFill="0" applyBorder="0" applyAlignment="0" applyProtection="0"/>
    <xf numFmtId="9" fontId="2" fillId="0" borderId="0" applyBorder="0" applyAlignment="0" applyProtection="0"/>
    <xf numFmtId="0" fontId="5" fillId="0" borderId="0">
      <alignment horizontal="center"/>
    </xf>
    <xf numFmtId="15" fontId="5" fillId="0" borderId="0">
      <alignment horizontal="center"/>
    </xf>
    <xf numFmtId="181" fontId="5" fillId="0" borderId="0">
      <alignment horizontal="center"/>
    </xf>
    <xf numFmtId="0" fontId="4" fillId="2" borderId="0">
      <alignment vertical="center"/>
    </xf>
    <xf numFmtId="0" fontId="1" fillId="0" borderId="0"/>
  </cellStyleXfs>
  <cellXfs count="323">
    <xf numFmtId="0" fontId="0" fillId="0" borderId="0" xfId="0"/>
    <xf numFmtId="0" fontId="1" fillId="0" borderId="0" xfId="0" applyFont="1" applyAlignment="1">
      <alignment horizontal="center"/>
    </xf>
    <xf numFmtId="165" fontId="2" fillId="0" borderId="0" xfId="3"/>
    <xf numFmtId="0" fontId="0" fillId="0" borderId="0" xfId="0" applyProtection="1">
      <protection locked="0"/>
    </xf>
    <xf numFmtId="0" fontId="3" fillId="0" borderId="0" xfId="5" applyAlignment="1" applyProtection="1"/>
    <xf numFmtId="0" fontId="2" fillId="0" borderId="0" xfId="0" applyFont="1"/>
    <xf numFmtId="166" fontId="2" fillId="0" borderId="0" xfId="1"/>
    <xf numFmtId="0" fontId="5" fillId="0" borderId="0" xfId="15">
      <alignment horizontal="center"/>
    </xf>
    <xf numFmtId="0" fontId="6" fillId="0" borderId="0" xfId="8" applyFont="1" applyAlignment="1">
      <alignment horizontal="right"/>
    </xf>
    <xf numFmtId="0" fontId="5" fillId="0" borderId="0" xfId="0" applyFont="1" applyAlignment="1">
      <alignment horizontal="center"/>
    </xf>
    <xf numFmtId="15" fontId="5" fillId="0" borderId="0" xfId="16">
      <alignment horizontal="center"/>
    </xf>
    <xf numFmtId="0" fontId="1" fillId="0" borderId="0" xfId="19" applyAlignment="1">
      <alignment horizontal="center"/>
    </xf>
    <xf numFmtId="0" fontId="1" fillId="0" borderId="1" xfId="19" applyBorder="1" applyAlignment="1">
      <alignment horizontal="center"/>
    </xf>
    <xf numFmtId="0" fontId="6" fillId="0" borderId="1" xfId="8" applyFont="1" applyBorder="1" applyAlignment="1">
      <alignment horizontal="right"/>
    </xf>
    <xf numFmtId="0" fontId="0" fillId="0" borderId="1" xfId="0" applyBorder="1"/>
    <xf numFmtId="0" fontId="0" fillId="0" borderId="2" xfId="0" applyBorder="1"/>
    <xf numFmtId="0" fontId="3" fillId="0" borderId="0" xfId="5" applyAlignment="1" applyProtection="1">
      <alignment horizontal="left" indent="1"/>
    </xf>
    <xf numFmtId="10" fontId="0" fillId="0" borderId="0" xfId="0" applyNumberFormat="1"/>
    <xf numFmtId="9" fontId="0" fillId="0" borderId="0" xfId="0" applyNumberFormat="1"/>
    <xf numFmtId="0" fontId="1" fillId="0" borderId="0" xfId="0" applyFont="1"/>
    <xf numFmtId="0" fontId="1" fillId="0" borderId="0" xfId="0" applyFont="1" applyProtection="1">
      <protection locked="0"/>
    </xf>
    <xf numFmtId="43" fontId="0" fillId="0" borderId="0" xfId="10" applyFont="1"/>
    <xf numFmtId="168" fontId="1" fillId="0" borderId="0" xfId="10" applyNumberFormat="1" applyFont="1"/>
    <xf numFmtId="43" fontId="1" fillId="0" borderId="0" xfId="0" applyNumberFormat="1" applyFont="1"/>
    <xf numFmtId="169" fontId="2" fillId="0" borderId="0" xfId="0" applyNumberFormat="1" applyFont="1"/>
    <xf numFmtId="0" fontId="8" fillId="0" borderId="0" xfId="0" applyFont="1"/>
    <xf numFmtId="0" fontId="4" fillId="5" borderId="0" xfId="18" applyFont="1" applyFill="1">
      <alignment vertical="center"/>
    </xf>
    <xf numFmtId="0" fontId="4" fillId="5" borderId="3" xfId="0" applyFont="1" applyFill="1" applyBorder="1"/>
    <xf numFmtId="0" fontId="7" fillId="5" borderId="4" xfId="0" applyFont="1" applyFill="1" applyBorder="1"/>
    <xf numFmtId="0" fontId="2" fillId="6" borderId="3" xfId="0" applyFont="1" applyFill="1" applyBorder="1" applyAlignment="1">
      <alignment horizontal="left" vertical="top" wrapText="1"/>
    </xf>
    <xf numFmtId="0" fontId="2" fillId="6" borderId="5" xfId="0" applyFont="1" applyFill="1" applyBorder="1" applyAlignment="1">
      <alignment horizontal="left" vertical="top" wrapText="1"/>
    </xf>
    <xf numFmtId="0" fontId="2" fillId="6" borderId="4" xfId="0" applyFont="1" applyFill="1" applyBorder="1" applyAlignment="1">
      <alignment horizontal="left" vertical="top" wrapText="1"/>
    </xf>
    <xf numFmtId="0" fontId="0" fillId="6" borderId="6" xfId="0" applyFill="1" applyBorder="1"/>
    <xf numFmtId="0" fontId="0" fillId="5" borderId="0" xfId="0" applyFill="1"/>
    <xf numFmtId="2" fontId="0" fillId="0" borderId="0" xfId="0" applyNumberFormat="1"/>
    <xf numFmtId="0" fontId="0" fillId="0" borderId="0" xfId="0" applyAlignment="1">
      <alignment horizontal="right"/>
    </xf>
    <xf numFmtId="0" fontId="1" fillId="0" borderId="3" xfId="0" applyFont="1" applyBorder="1" applyAlignment="1">
      <alignment horizontal="center"/>
    </xf>
    <xf numFmtId="0" fontId="1" fillId="0" borderId="4" xfId="19" applyBorder="1" applyAlignment="1">
      <alignment horizontal="center"/>
    </xf>
    <xf numFmtId="0" fontId="5" fillId="0" borderId="5" xfId="15" applyBorder="1">
      <alignment horizontal="center"/>
    </xf>
    <xf numFmtId="15" fontId="5" fillId="0" borderId="5" xfId="16" applyBorder="1">
      <alignment horizontal="center"/>
    </xf>
    <xf numFmtId="0" fontId="0" fillId="0" borderId="5" xfId="0" applyBorder="1"/>
    <xf numFmtId="0" fontId="2" fillId="0" borderId="5" xfId="0" applyFont="1" applyBorder="1"/>
    <xf numFmtId="169" fontId="1" fillId="0" borderId="6" xfId="0" applyNumberFormat="1" applyFont="1" applyBorder="1"/>
    <xf numFmtId="169" fontId="2" fillId="0" borderId="6" xfId="0" applyNumberFormat="1" applyFont="1" applyBorder="1"/>
    <xf numFmtId="167" fontId="1" fillId="0" borderId="6" xfId="10" applyNumberFormat="1" applyFont="1" applyBorder="1"/>
    <xf numFmtId="43" fontId="1" fillId="0" borderId="6" xfId="10" applyFont="1" applyBorder="1"/>
    <xf numFmtId="43" fontId="0" fillId="0" borderId="6" xfId="10" applyFont="1" applyBorder="1"/>
    <xf numFmtId="169" fontId="0" fillId="0" borderId="6" xfId="0" applyNumberFormat="1" applyBorder="1"/>
    <xf numFmtId="0" fontId="0" fillId="0" borderId="0" xfId="0" applyAlignment="1">
      <alignment horizontal="left" indent="1"/>
    </xf>
    <xf numFmtId="0" fontId="8" fillId="0" borderId="0" xfId="0" applyFont="1" applyAlignment="1">
      <alignment horizontal="left" indent="1"/>
    </xf>
    <xf numFmtId="43" fontId="28" fillId="0" borderId="0" xfId="10" applyFont="1"/>
    <xf numFmtId="4" fontId="0" fillId="0" borderId="0" xfId="0" applyNumberFormat="1"/>
    <xf numFmtId="0" fontId="2" fillId="0" borderId="0" xfId="0" applyFont="1" applyAlignment="1">
      <alignment horizontal="left" indent="1"/>
    </xf>
    <xf numFmtId="9" fontId="29" fillId="7" borderId="0" xfId="0" applyNumberFormat="1" applyFont="1" applyFill="1"/>
    <xf numFmtId="43" fontId="10" fillId="8" borderId="0" xfId="10" applyFont="1" applyFill="1"/>
    <xf numFmtId="9" fontId="29" fillId="8" borderId="0" xfId="0" applyNumberFormat="1" applyFont="1" applyFill="1"/>
    <xf numFmtId="171" fontId="0" fillId="0" borderId="0" xfId="10" applyNumberFormat="1" applyFont="1"/>
    <xf numFmtId="3" fontId="0" fillId="0" borderId="0" xfId="0" applyNumberFormat="1"/>
    <xf numFmtId="164" fontId="0" fillId="0" borderId="0" xfId="0" applyNumberFormat="1"/>
    <xf numFmtId="1" fontId="0" fillId="0" borderId="0" xfId="0" applyNumberFormat="1"/>
    <xf numFmtId="0" fontId="29" fillId="0" borderId="0" xfId="0" applyFont="1"/>
    <xf numFmtId="0" fontId="0" fillId="8" borderId="0" xfId="0" applyFill="1"/>
    <xf numFmtId="9" fontId="2" fillId="7" borderId="0" xfId="0" applyNumberFormat="1" applyFont="1" applyFill="1"/>
    <xf numFmtId="170" fontId="30" fillId="0" borderId="0" xfId="0" applyNumberFormat="1" applyFont="1"/>
    <xf numFmtId="0" fontId="30" fillId="0" borderId="0" xfId="0" applyFont="1" applyAlignment="1">
      <alignment horizontal="left" indent="1"/>
    </xf>
    <xf numFmtId="172" fontId="0" fillId="0" borderId="0" xfId="10" applyNumberFormat="1" applyFont="1"/>
    <xf numFmtId="172" fontId="1" fillId="0" borderId="0" xfId="10" applyNumberFormat="1" applyFont="1"/>
    <xf numFmtId="172" fontId="8" fillId="0" borderId="0" xfId="10" applyNumberFormat="1" applyFont="1"/>
    <xf numFmtId="167" fontId="1" fillId="0" borderId="0" xfId="10" applyNumberFormat="1" applyFont="1"/>
    <xf numFmtId="167" fontId="0" fillId="0" borderId="0" xfId="10" applyNumberFormat="1" applyFont="1"/>
    <xf numFmtId="173" fontId="0" fillId="0" borderId="0" xfId="0" applyNumberFormat="1"/>
    <xf numFmtId="173" fontId="1" fillId="0" borderId="0" xfId="0" applyNumberFormat="1" applyFont="1"/>
    <xf numFmtId="167" fontId="9" fillId="8" borderId="0" xfId="10" applyNumberFormat="1" applyFont="1" applyFill="1"/>
    <xf numFmtId="169" fontId="2" fillId="0" borderId="0" xfId="0" applyNumberFormat="1" applyFont="1" applyBorder="1"/>
    <xf numFmtId="0" fontId="0" fillId="0" borderId="0" xfId="0" applyBorder="1"/>
    <xf numFmtId="167" fontId="0" fillId="0" borderId="0" xfId="10" applyNumberFormat="1" applyFont="1" applyBorder="1"/>
    <xf numFmtId="9" fontId="29" fillId="0" borderId="0" xfId="0" applyNumberFormat="1" applyFont="1"/>
    <xf numFmtId="9" fontId="9" fillId="8" borderId="0" xfId="10" applyNumberFormat="1" applyFont="1" applyFill="1"/>
    <xf numFmtId="9" fontId="29" fillId="0" borderId="0" xfId="10" applyNumberFormat="1" applyFont="1"/>
    <xf numFmtId="171" fontId="8" fillId="0" borderId="0" xfId="10" applyNumberFormat="1" applyFont="1"/>
    <xf numFmtId="0" fontId="1" fillId="0" borderId="7" xfId="0" applyFont="1" applyBorder="1"/>
    <xf numFmtId="167" fontId="29" fillId="7" borderId="0" xfId="10" applyNumberFormat="1" applyFont="1" applyFill="1"/>
    <xf numFmtId="172" fontId="0" fillId="0" borderId="0" xfId="0" applyNumberFormat="1"/>
    <xf numFmtId="0" fontId="31" fillId="0" borderId="0" xfId="0" applyFont="1"/>
    <xf numFmtId="172" fontId="2" fillId="0" borderId="0" xfId="10" applyNumberFormat="1" applyFont="1"/>
    <xf numFmtId="171" fontId="1" fillId="0" borderId="0" xfId="0" applyNumberFormat="1" applyFont="1"/>
    <xf numFmtId="0" fontId="2" fillId="0" borderId="0" xfId="0" applyFont="1" applyAlignment="1">
      <alignment horizontal="left"/>
    </xf>
    <xf numFmtId="3" fontId="29" fillId="0" borderId="0" xfId="0" applyNumberFormat="1" applyFont="1"/>
    <xf numFmtId="43" fontId="1" fillId="8" borderId="7" xfId="10" applyFont="1" applyFill="1" applyBorder="1"/>
    <xf numFmtId="4" fontId="1" fillId="0" borderId="0" xfId="0" applyNumberFormat="1" applyFont="1"/>
    <xf numFmtId="0" fontId="2" fillId="0" borderId="0" xfId="0" applyFont="1" applyBorder="1"/>
    <xf numFmtId="171" fontId="12" fillId="8" borderId="0" xfId="10" applyNumberFormat="1" applyFont="1" applyFill="1"/>
    <xf numFmtId="3" fontId="0" fillId="8" borderId="0" xfId="0" applyNumberFormat="1" applyFill="1"/>
    <xf numFmtId="43" fontId="32" fillId="0" borderId="0" xfId="10" applyFont="1"/>
    <xf numFmtId="9" fontId="33" fillId="7" borderId="0" xfId="0" applyNumberFormat="1" applyFont="1" applyFill="1"/>
    <xf numFmtId="167" fontId="0" fillId="0" borderId="6" xfId="10" applyNumberFormat="1" applyFont="1" applyBorder="1"/>
    <xf numFmtId="43" fontId="0" fillId="0" borderId="0" xfId="0" applyNumberFormat="1"/>
    <xf numFmtId="43" fontId="29" fillId="8" borderId="0" xfId="10" applyFont="1" applyFill="1"/>
    <xf numFmtId="0" fontId="28" fillId="0" borderId="0" xfId="0" applyFont="1"/>
    <xf numFmtId="9" fontId="33" fillId="9" borderId="0" xfId="0" applyNumberFormat="1" applyFont="1" applyFill="1"/>
    <xf numFmtId="171" fontId="2" fillId="0" borderId="0" xfId="10" applyNumberFormat="1" applyFont="1"/>
    <xf numFmtId="0" fontId="0" fillId="0" borderId="0" xfId="0" applyAlignment="1">
      <alignment horizontal="center"/>
    </xf>
    <xf numFmtId="0" fontId="2" fillId="0" borderId="0" xfId="0" applyFont="1" applyAlignment="1">
      <alignment horizontal="center"/>
    </xf>
    <xf numFmtId="167" fontId="1" fillId="8" borderId="0" xfId="10" applyNumberFormat="1" applyFont="1" applyFill="1"/>
    <xf numFmtId="0" fontId="31" fillId="8" borderId="0" xfId="0" applyFont="1" applyFill="1"/>
    <xf numFmtId="0" fontId="31" fillId="8" borderId="0" xfId="0" applyFont="1" applyFill="1" applyAlignment="1">
      <alignment horizontal="left" indent="1"/>
    </xf>
    <xf numFmtId="171" fontId="1" fillId="0" borderId="0" xfId="10" applyNumberFormat="1" applyFont="1"/>
    <xf numFmtId="9" fontId="28" fillId="8" borderId="0" xfId="0" applyNumberFormat="1" applyFont="1" applyFill="1"/>
    <xf numFmtId="0" fontId="28" fillId="8" borderId="0" xfId="0" applyFont="1" applyFill="1"/>
    <xf numFmtId="0" fontId="8" fillId="8" borderId="0" xfId="0" applyFont="1" applyFill="1" applyAlignment="1">
      <alignment horizontal="left" indent="1"/>
    </xf>
    <xf numFmtId="0" fontId="28" fillId="0" borderId="1" xfId="0" applyFont="1" applyBorder="1"/>
    <xf numFmtId="0" fontId="3" fillId="0" borderId="0" xfId="5" applyBorder="1" applyAlignment="1" applyProtection="1">
      <alignment horizontal="left" indent="1"/>
    </xf>
    <xf numFmtId="0" fontId="1" fillId="0" borderId="8" xfId="0" applyFont="1" applyBorder="1"/>
    <xf numFmtId="3" fontId="1" fillId="0" borderId="8" xfId="0" applyNumberFormat="1" applyFont="1" applyBorder="1"/>
    <xf numFmtId="164" fontId="1" fillId="0" borderId="8" xfId="0" applyNumberFormat="1" applyFont="1" applyBorder="1"/>
    <xf numFmtId="0" fontId="4" fillId="10" borderId="0" xfId="18" applyFont="1" applyFill="1">
      <alignment vertical="center"/>
    </xf>
    <xf numFmtId="0" fontId="0" fillId="10" borderId="0" xfId="0" applyFill="1"/>
    <xf numFmtId="0" fontId="4" fillId="10" borderId="3" xfId="0" applyFont="1" applyFill="1" applyBorder="1"/>
    <xf numFmtId="0" fontId="7" fillId="10" borderId="4" xfId="0" applyFont="1" applyFill="1" applyBorder="1"/>
    <xf numFmtId="0" fontId="2" fillId="11" borderId="3" xfId="0" applyFont="1" applyFill="1" applyBorder="1" applyAlignment="1">
      <alignment horizontal="left" vertical="top" wrapText="1"/>
    </xf>
    <xf numFmtId="0" fontId="2" fillId="11" borderId="5" xfId="0" applyFont="1" applyFill="1" applyBorder="1" applyAlignment="1">
      <alignment horizontal="left" vertical="top" wrapText="1"/>
    </xf>
    <xf numFmtId="0" fontId="2" fillId="11" borderId="4" xfId="0" applyFont="1" applyFill="1" applyBorder="1" applyAlignment="1">
      <alignment horizontal="left" vertical="top" wrapText="1"/>
    </xf>
    <xf numFmtId="0" fontId="0" fillId="11" borderId="6" xfId="0" applyFill="1" applyBorder="1"/>
    <xf numFmtId="176" fontId="1" fillId="0" borderId="0" xfId="0" applyNumberFormat="1" applyFont="1" applyAlignment="1"/>
    <xf numFmtId="167" fontId="1" fillId="0" borderId="0" xfId="0" applyNumberFormat="1" applyFont="1"/>
    <xf numFmtId="43" fontId="2" fillId="0" borderId="0" xfId="0" applyNumberFormat="1" applyFont="1"/>
    <xf numFmtId="0" fontId="2" fillId="0" borderId="0" xfId="0" applyFont="1" applyBorder="1" applyAlignment="1">
      <alignment horizontal="center"/>
    </xf>
    <xf numFmtId="0" fontId="32" fillId="0" borderId="0" xfId="0" applyFont="1" applyBorder="1"/>
    <xf numFmtId="0" fontId="32" fillId="0" borderId="23" xfId="0" applyFont="1" applyBorder="1"/>
    <xf numFmtId="174" fontId="2" fillId="0" borderId="0" xfId="0" applyNumberFormat="1" applyFont="1" applyBorder="1"/>
    <xf numFmtId="0" fontId="32" fillId="6" borderId="24" xfId="0" applyFont="1" applyFill="1" applyBorder="1" applyAlignment="1">
      <alignment horizontal="center"/>
    </xf>
    <xf numFmtId="0" fontId="1" fillId="0" borderId="0" xfId="0" applyFont="1" applyBorder="1" applyAlignment="1">
      <alignment horizontal="center"/>
    </xf>
    <xf numFmtId="175" fontId="2" fillId="0" borderId="0" xfId="0" applyNumberFormat="1" applyFont="1" applyBorder="1"/>
    <xf numFmtId="3" fontId="2" fillId="0" borderId="25" xfId="0" applyNumberFormat="1" applyFont="1" applyBorder="1"/>
    <xf numFmtId="3" fontId="2" fillId="0" borderId="0" xfId="0" applyNumberFormat="1" applyFont="1"/>
    <xf numFmtId="43" fontId="32" fillId="0" borderId="0" xfId="10" applyFont="1" applyAlignment="1">
      <alignment horizontal="center"/>
    </xf>
    <xf numFmtId="176" fontId="1" fillId="0" borderId="0" xfId="0" applyNumberFormat="1" applyFont="1" applyAlignment="1">
      <alignment horizontal="right" indent="2"/>
    </xf>
    <xf numFmtId="0" fontId="0" fillId="0" borderId="26" xfId="0" applyBorder="1"/>
    <xf numFmtId="0" fontId="1" fillId="12" borderId="27" xfId="0" applyFont="1" applyFill="1" applyBorder="1" applyAlignment="1">
      <alignment horizontal="center"/>
    </xf>
    <xf numFmtId="4" fontId="29" fillId="0" borderId="0" xfId="0" applyNumberFormat="1" applyFont="1"/>
    <xf numFmtId="0" fontId="0" fillId="0" borderId="0" xfId="0" applyAlignment="1">
      <alignment horizontal="left" vertical="center"/>
    </xf>
    <xf numFmtId="0" fontId="34" fillId="13" borderId="0" xfId="0" applyFont="1" applyFill="1" applyAlignment="1">
      <alignment horizontal="left" vertical="center"/>
    </xf>
    <xf numFmtId="0" fontId="31" fillId="11" borderId="28" xfId="0" applyFont="1" applyFill="1" applyBorder="1"/>
    <xf numFmtId="0" fontId="31" fillId="11" borderId="29" xfId="0" applyFont="1" applyFill="1" applyBorder="1"/>
    <xf numFmtId="0" fontId="31" fillId="11" borderId="30" xfId="0" applyFont="1" applyFill="1" applyBorder="1"/>
    <xf numFmtId="175" fontId="35" fillId="0" borderId="0" xfId="0" applyNumberFormat="1" applyFont="1" applyBorder="1"/>
    <xf numFmtId="175" fontId="29" fillId="0" borderId="0" xfId="0" applyNumberFormat="1" applyFont="1" applyBorder="1"/>
    <xf numFmtId="167" fontId="2" fillId="0" borderId="0" xfId="0" applyNumberFormat="1" applyFont="1"/>
    <xf numFmtId="0" fontId="0" fillId="0" borderId="31" xfId="0" applyBorder="1"/>
    <xf numFmtId="9" fontId="1" fillId="0" borderId="0" xfId="13" applyFont="1"/>
    <xf numFmtId="9" fontId="2" fillId="0" borderId="0" xfId="13" applyFont="1"/>
    <xf numFmtId="9" fontId="8" fillId="0" borderId="5" xfId="13" applyFont="1" applyBorder="1"/>
    <xf numFmtId="10" fontId="0" fillId="0" borderId="0" xfId="13" applyNumberFormat="1" applyFont="1"/>
    <xf numFmtId="9" fontId="8" fillId="0" borderId="6" xfId="0" applyNumberFormat="1" applyFont="1" applyBorder="1"/>
    <xf numFmtId="169" fontId="8" fillId="0" borderId="6" xfId="0" applyNumberFormat="1" applyFont="1" applyBorder="1"/>
    <xf numFmtId="169" fontId="36" fillId="8" borderId="6" xfId="0" applyNumberFormat="1" applyFont="1" applyFill="1" applyBorder="1"/>
    <xf numFmtId="169" fontId="32" fillId="8" borderId="6" xfId="0" applyNumberFormat="1" applyFont="1" applyFill="1" applyBorder="1"/>
    <xf numFmtId="9" fontId="1" fillId="0" borderId="0" xfId="0" applyNumberFormat="1" applyFont="1"/>
    <xf numFmtId="9" fontId="8" fillId="0" borderId="5" xfId="13" applyFont="1" applyBorder="1" applyAlignment="1">
      <alignment horizontal="right"/>
    </xf>
    <xf numFmtId="170" fontId="1" fillId="0" borderId="0" xfId="0" applyNumberFormat="1" applyFont="1"/>
    <xf numFmtId="10" fontId="1" fillId="0" borderId="0" xfId="0" applyNumberFormat="1" applyFont="1"/>
    <xf numFmtId="0" fontId="37" fillId="0" borderId="0" xfId="0" applyFont="1"/>
    <xf numFmtId="0" fontId="38" fillId="12" borderId="27" xfId="0" applyFont="1" applyFill="1" applyBorder="1" applyAlignment="1">
      <alignment horizontal="center"/>
    </xf>
    <xf numFmtId="3" fontId="37" fillId="0" borderId="25" xfId="0" applyNumberFormat="1" applyFont="1" applyBorder="1"/>
    <xf numFmtId="3" fontId="37" fillId="0" borderId="0" xfId="0" applyNumberFormat="1" applyFont="1"/>
    <xf numFmtId="3" fontId="38" fillId="0" borderId="0" xfId="0" applyNumberFormat="1" applyFont="1"/>
    <xf numFmtId="0" fontId="37" fillId="0" borderId="0" xfId="0" applyFont="1" applyAlignment="1">
      <alignment horizontal="left" vertical="center"/>
    </xf>
    <xf numFmtId="0" fontId="37" fillId="0" borderId="25" xfId="0" applyFont="1" applyBorder="1" applyAlignment="1">
      <alignment horizontal="left" vertical="center"/>
    </xf>
    <xf numFmtId="0" fontId="37" fillId="0" borderId="32" xfId="0" applyFont="1" applyBorder="1" applyAlignment="1">
      <alignment horizontal="left" vertical="center"/>
    </xf>
    <xf numFmtId="0" fontId="37" fillId="0" borderId="0" xfId="0" applyFont="1" applyBorder="1" applyAlignment="1">
      <alignment horizontal="left" vertical="center"/>
    </xf>
    <xf numFmtId="0" fontId="38" fillId="8" borderId="31" xfId="0" applyFont="1" applyFill="1" applyBorder="1" applyAlignment="1">
      <alignment horizontal="left" vertical="center"/>
    </xf>
    <xf numFmtId="0" fontId="37" fillId="11" borderId="33" xfId="0" applyFont="1" applyFill="1" applyBorder="1" applyAlignment="1">
      <alignment horizontal="left" vertical="center"/>
    </xf>
    <xf numFmtId="4" fontId="37" fillId="0" borderId="0" xfId="0" applyNumberFormat="1" applyFont="1"/>
    <xf numFmtId="0" fontId="37" fillId="11" borderId="26" xfId="0" applyFont="1" applyFill="1" applyBorder="1" applyAlignment="1">
      <alignment horizontal="left" vertical="center"/>
    </xf>
    <xf numFmtId="0" fontId="37" fillId="0" borderId="34" xfId="0" applyFont="1" applyBorder="1" applyAlignment="1">
      <alignment horizontal="left" vertical="center"/>
    </xf>
    <xf numFmtId="0" fontId="38" fillId="7" borderId="26" xfId="0" applyFont="1" applyFill="1" applyBorder="1" applyAlignment="1">
      <alignment horizontal="left" vertical="center"/>
    </xf>
    <xf numFmtId="167" fontId="2" fillId="8" borderId="0" xfId="10" applyNumberFormat="1" applyFont="1" applyFill="1"/>
    <xf numFmtId="0" fontId="1" fillId="7" borderId="0" xfId="0" applyFont="1" applyFill="1"/>
    <xf numFmtId="9" fontId="1" fillId="14" borderId="0" xfId="0" applyNumberFormat="1" applyFont="1" applyFill="1"/>
    <xf numFmtId="9" fontId="0" fillId="0" borderId="0" xfId="13" applyFont="1"/>
    <xf numFmtId="167" fontId="0" fillId="0" borderId="0" xfId="0" applyNumberFormat="1"/>
    <xf numFmtId="0" fontId="1" fillId="14" borderId="0" xfId="0" applyFont="1" applyFill="1"/>
    <xf numFmtId="167" fontId="39" fillId="0" borderId="0" xfId="0" applyNumberFormat="1" applyFont="1"/>
    <xf numFmtId="167" fontId="1" fillId="14" borderId="0" xfId="10" applyNumberFormat="1" applyFont="1" applyFill="1" applyAlignment="1">
      <alignment horizontal="left" indent="3"/>
    </xf>
    <xf numFmtId="0" fontId="37" fillId="11" borderId="0" xfId="0" applyFont="1" applyFill="1" applyBorder="1" applyAlignment="1">
      <alignment horizontal="left" vertical="center"/>
    </xf>
    <xf numFmtId="10" fontId="29" fillId="0" borderId="0" xfId="0" applyNumberFormat="1" applyFont="1" applyBorder="1"/>
    <xf numFmtId="0" fontId="40" fillId="0" borderId="0" xfId="12" applyFont="1"/>
    <xf numFmtId="0" fontId="41" fillId="0" borderId="0" xfId="12" applyFont="1" applyAlignment="1">
      <alignment horizontal="center"/>
    </xf>
    <xf numFmtId="0" fontId="41" fillId="14" borderId="35" xfId="12" applyFont="1" applyFill="1" applyBorder="1" applyAlignment="1">
      <alignment horizontal="center"/>
    </xf>
    <xf numFmtId="0" fontId="40" fillId="0" borderId="36" xfId="12" applyFont="1" applyBorder="1"/>
    <xf numFmtId="0" fontId="41" fillId="0" borderId="0" xfId="12" applyFont="1"/>
    <xf numFmtId="43" fontId="28" fillId="0" borderId="0" xfId="12" applyNumberFormat="1" applyFont="1"/>
    <xf numFmtId="43" fontId="29" fillId="0" borderId="0" xfId="12" applyNumberFormat="1" applyFont="1"/>
    <xf numFmtId="168" fontId="28" fillId="0" borderId="0" xfId="12" applyNumberFormat="1" applyFont="1"/>
    <xf numFmtId="168" fontId="29" fillId="0" borderId="0" xfId="12" applyNumberFormat="1" applyFont="1"/>
    <xf numFmtId="178" fontId="29" fillId="7" borderId="37" xfId="12" applyNumberFormat="1" applyFont="1" applyFill="1" applyBorder="1"/>
    <xf numFmtId="0" fontId="42" fillId="0" borderId="0" xfId="12" applyFont="1" applyAlignment="1">
      <alignment horizontal="left" indent="1"/>
    </xf>
    <xf numFmtId="168" fontId="36" fillId="0" borderId="0" xfId="12" applyNumberFormat="1" applyFont="1"/>
    <xf numFmtId="177" fontId="29" fillId="7" borderId="37" xfId="12" applyNumberFormat="1" applyFont="1" applyFill="1" applyBorder="1"/>
    <xf numFmtId="0" fontId="41" fillId="7" borderId="0" xfId="12" applyFont="1" applyFill="1"/>
    <xf numFmtId="168" fontId="41" fillId="0" borderId="0" xfId="12" applyNumberFormat="1" applyFont="1"/>
    <xf numFmtId="0" fontId="41" fillId="15" borderId="0" xfId="12" applyFont="1" applyFill="1"/>
    <xf numFmtId="0" fontId="2" fillId="0" borderId="0" xfId="0" applyFont="1" applyAlignment="1">
      <alignment horizontal="left" vertical="center"/>
    </xf>
    <xf numFmtId="170" fontId="0" fillId="0" borderId="0" xfId="0" applyNumberFormat="1"/>
    <xf numFmtId="168" fontId="31" fillId="0" borderId="0" xfId="12" applyNumberFormat="1" applyFont="1"/>
    <xf numFmtId="43" fontId="31" fillId="0" borderId="0" xfId="12" applyNumberFormat="1" applyFont="1"/>
    <xf numFmtId="175" fontId="31" fillId="0" borderId="0" xfId="0" applyNumberFormat="1" applyFont="1" applyBorder="1"/>
    <xf numFmtId="167" fontId="32" fillId="8" borderId="0" xfId="10" applyNumberFormat="1" applyFont="1" applyFill="1"/>
    <xf numFmtId="172" fontId="32" fillId="0" borderId="0" xfId="0" applyNumberFormat="1" applyFont="1"/>
    <xf numFmtId="172" fontId="36" fillId="0" borderId="0" xfId="0" applyNumberFormat="1" applyFont="1"/>
    <xf numFmtId="0" fontId="29" fillId="8" borderId="0" xfId="0" applyFont="1" applyFill="1"/>
    <xf numFmtId="0" fontId="2" fillId="0" borderId="0" xfId="12"/>
    <xf numFmtId="0" fontId="2" fillId="0" borderId="0" xfId="12" applyFont="1"/>
    <xf numFmtId="0" fontId="1" fillId="0" borderId="0" xfId="12" applyFont="1"/>
    <xf numFmtId="169" fontId="0" fillId="0" borderId="5" xfId="0" applyNumberFormat="1" applyBorder="1"/>
    <xf numFmtId="9" fontId="31" fillId="0" borderId="0" xfId="0" applyNumberFormat="1" applyFont="1"/>
    <xf numFmtId="170" fontId="29" fillId="0" borderId="0" xfId="0" applyNumberFormat="1" applyFont="1"/>
    <xf numFmtId="170" fontId="31" fillId="0" borderId="0" xfId="0" applyNumberFormat="1" applyFont="1"/>
    <xf numFmtId="0" fontId="16" fillId="3" borderId="9" xfId="0" applyFont="1" applyFill="1" applyBorder="1" applyAlignment="1">
      <alignment horizontal="center"/>
    </xf>
    <xf numFmtId="0" fontId="16" fillId="3" borderId="10" xfId="0" applyFont="1" applyFill="1" applyBorder="1" applyAlignment="1">
      <alignment horizontal="center"/>
    </xf>
    <xf numFmtId="0" fontId="17" fillId="0" borderId="9" xfId="0" applyFont="1" applyBorder="1"/>
    <xf numFmtId="3" fontId="18" fillId="16" borderId="11" xfId="0" applyNumberFormat="1" applyFont="1" applyFill="1" applyBorder="1" applyAlignment="1">
      <alignment horizontal="center" vertical="center"/>
    </xf>
    <xf numFmtId="0" fontId="43" fillId="0" borderId="12" xfId="0" applyFont="1" applyBorder="1"/>
    <xf numFmtId="0" fontId="18" fillId="17" borderId="13" xfId="0" applyFont="1" applyFill="1" applyBorder="1"/>
    <xf numFmtId="3" fontId="18" fillId="17" borderId="14" xfId="0" applyNumberFormat="1" applyFont="1" applyFill="1" applyBorder="1" applyAlignment="1">
      <alignment horizontal="center" vertical="center"/>
    </xf>
    <xf numFmtId="169" fontId="1" fillId="0" borderId="7" xfId="0" applyNumberFormat="1" applyFont="1" applyBorder="1"/>
    <xf numFmtId="169" fontId="1" fillId="0" borderId="7" xfId="0" applyNumberFormat="1" applyFont="1" applyBorder="1" applyAlignment="1">
      <alignment horizontal="right"/>
    </xf>
    <xf numFmtId="0" fontId="44" fillId="17" borderId="0" xfId="0" applyFont="1" applyFill="1"/>
    <xf numFmtId="0" fontId="1" fillId="18" borderId="0" xfId="0" applyFont="1" applyFill="1" applyAlignment="1">
      <alignment horizontal="center"/>
    </xf>
    <xf numFmtId="0" fontId="0" fillId="19" borderId="0" xfId="0" applyFill="1"/>
    <xf numFmtId="0" fontId="0" fillId="15" borderId="0" xfId="0" applyFill="1"/>
    <xf numFmtId="0" fontId="1" fillId="15" borderId="0" xfId="0" applyFont="1" applyFill="1"/>
    <xf numFmtId="0" fontId="0" fillId="0" borderId="0" xfId="0" applyAlignment="1">
      <alignment vertical="center"/>
    </xf>
    <xf numFmtId="0" fontId="2" fillId="0" borderId="0" xfId="0" applyFont="1" applyAlignment="1">
      <alignment vertical="center" wrapText="1"/>
    </xf>
    <xf numFmtId="0" fontId="21" fillId="20" borderId="0" xfId="0" applyFont="1" applyFill="1"/>
    <xf numFmtId="0" fontId="22" fillId="0" borderId="0" xfId="0" applyFont="1" applyAlignment="1">
      <alignment vertical="center"/>
    </xf>
    <xf numFmtId="0" fontId="22" fillId="0" borderId="0" xfId="0" applyFont="1" applyAlignment="1">
      <alignment vertical="center" wrapText="1"/>
    </xf>
    <xf numFmtId="0" fontId="1" fillId="19" borderId="0" xfId="0" applyFont="1" applyFill="1"/>
    <xf numFmtId="0" fontId="23" fillId="0" borderId="0" xfId="0" applyFont="1"/>
    <xf numFmtId="0" fontId="8" fillId="11" borderId="38" xfId="0" applyFont="1" applyFill="1" applyBorder="1" applyAlignment="1">
      <alignment horizontal="left" indent="1"/>
    </xf>
    <xf numFmtId="0" fontId="5" fillId="0" borderId="39" xfId="15" applyBorder="1">
      <alignment horizontal="center"/>
    </xf>
    <xf numFmtId="167" fontId="1" fillId="0" borderId="4" xfId="10" applyNumberFormat="1" applyFont="1" applyBorder="1"/>
    <xf numFmtId="169" fontId="1" fillId="0" borderId="4" xfId="0" applyNumberFormat="1" applyFont="1" applyBorder="1"/>
    <xf numFmtId="167" fontId="1" fillId="0" borderId="40" xfId="10" applyNumberFormat="1" applyFont="1" applyBorder="1"/>
    <xf numFmtId="169" fontId="1" fillId="0" borderId="40" xfId="0" applyNumberFormat="1" applyFont="1" applyBorder="1"/>
    <xf numFmtId="0" fontId="0" fillId="0" borderId="39" xfId="0" applyBorder="1"/>
    <xf numFmtId="169" fontId="1" fillId="0" borderId="41" xfId="0" applyNumberFormat="1" applyFont="1" applyBorder="1"/>
    <xf numFmtId="169" fontId="1" fillId="0" borderId="15" xfId="0" applyNumberFormat="1" applyFont="1" applyBorder="1"/>
    <xf numFmtId="167" fontId="1" fillId="0" borderId="0" xfId="10" applyNumberFormat="1" applyFont="1" applyBorder="1"/>
    <xf numFmtId="0" fontId="34" fillId="10" borderId="38" xfId="0" applyFont="1" applyFill="1" applyBorder="1"/>
    <xf numFmtId="169" fontId="1" fillId="0" borderId="16" xfId="0" applyNumberFormat="1" applyFont="1" applyBorder="1"/>
    <xf numFmtId="169" fontId="36" fillId="8" borderId="16" xfId="0" applyNumberFormat="1" applyFont="1" applyFill="1" applyBorder="1"/>
    <xf numFmtId="43" fontId="0" fillId="0" borderId="16" xfId="10" applyFont="1" applyBorder="1"/>
    <xf numFmtId="169" fontId="8" fillId="0" borderId="16" xfId="0" applyNumberFormat="1" applyFont="1" applyBorder="1"/>
    <xf numFmtId="169" fontId="0" fillId="0" borderId="16" xfId="0" applyNumberFormat="1" applyBorder="1"/>
    <xf numFmtId="169" fontId="32" fillId="8" borderId="16" xfId="0" applyNumberFormat="1" applyFont="1" applyFill="1" applyBorder="1"/>
    <xf numFmtId="43" fontId="1" fillId="0" borderId="16" xfId="10" applyFont="1" applyBorder="1"/>
    <xf numFmtId="9" fontId="8" fillId="0" borderId="17" xfId="13" applyFont="1" applyBorder="1"/>
    <xf numFmtId="169" fontId="0" fillId="0" borderId="17" xfId="0" applyNumberFormat="1" applyBorder="1"/>
    <xf numFmtId="9" fontId="8" fillId="0" borderId="17" xfId="13" applyFont="1" applyBorder="1" applyAlignment="1">
      <alignment horizontal="right"/>
    </xf>
    <xf numFmtId="169" fontId="2" fillId="0" borderId="16" xfId="0" applyNumberFormat="1" applyFont="1" applyBorder="1"/>
    <xf numFmtId="9" fontId="8" fillId="0" borderId="16" xfId="0" applyNumberFormat="1" applyFont="1" applyBorder="1"/>
    <xf numFmtId="169" fontId="1" fillId="0" borderId="0" xfId="0" applyNumberFormat="1" applyFont="1" applyBorder="1"/>
    <xf numFmtId="167" fontId="1" fillId="0" borderId="1" xfId="10" applyNumberFormat="1" applyFont="1" applyBorder="1"/>
    <xf numFmtId="0" fontId="1" fillId="7" borderId="42" xfId="0" applyFont="1" applyFill="1" applyBorder="1"/>
    <xf numFmtId="0" fontId="5" fillId="0" borderId="43" xfId="0" applyFont="1" applyBorder="1" applyAlignment="1">
      <alignment horizontal="center"/>
    </xf>
    <xf numFmtId="0" fontId="34" fillId="10" borderId="38" xfId="0" applyFont="1" applyFill="1" applyBorder="1" applyAlignment="1">
      <alignment horizontal="center"/>
    </xf>
    <xf numFmtId="169" fontId="1" fillId="0" borderId="0" xfId="10" applyNumberFormat="1" applyFont="1" applyBorder="1"/>
    <xf numFmtId="167" fontId="2" fillId="0" borderId="0" xfId="10" applyNumberFormat="1" applyFont="1" applyBorder="1"/>
    <xf numFmtId="0" fontId="34" fillId="10" borderId="44" xfId="0" applyFont="1" applyFill="1" applyBorder="1" applyAlignment="1">
      <alignment horizontal="center"/>
    </xf>
    <xf numFmtId="0" fontId="1" fillId="0" borderId="18" xfId="0" applyFont="1" applyBorder="1" applyAlignment="1">
      <alignment horizontal="center"/>
    </xf>
    <xf numFmtId="0" fontId="1" fillId="0" borderId="2" xfId="19" applyBorder="1" applyAlignment="1">
      <alignment horizontal="center"/>
    </xf>
    <xf numFmtId="0" fontId="5" fillId="0" borderId="19" xfId="15" applyBorder="1">
      <alignment horizontal="center"/>
    </xf>
    <xf numFmtId="15" fontId="5" fillId="0" borderId="19" xfId="16" applyBorder="1">
      <alignment horizontal="center"/>
    </xf>
    <xf numFmtId="0" fontId="0" fillId="0" borderId="19" xfId="0" applyBorder="1"/>
    <xf numFmtId="0" fontId="2" fillId="0" borderId="19" xfId="0" applyFont="1" applyBorder="1"/>
    <xf numFmtId="0" fontId="1" fillId="0" borderId="0" xfId="19" applyBorder="1" applyAlignment="1">
      <alignment horizontal="center"/>
    </xf>
    <xf numFmtId="0" fontId="5" fillId="0" borderId="0" xfId="0" applyFont="1" applyBorder="1" applyAlignment="1">
      <alignment horizontal="center"/>
    </xf>
    <xf numFmtId="0" fontId="5" fillId="0" borderId="0" xfId="15" applyBorder="1">
      <alignment horizontal="center"/>
    </xf>
    <xf numFmtId="15" fontId="5" fillId="0" borderId="0" xfId="16" applyBorder="1">
      <alignment horizontal="center"/>
    </xf>
    <xf numFmtId="169" fontId="0" fillId="0" borderId="20" xfId="0" applyNumberFormat="1" applyBorder="1"/>
    <xf numFmtId="169" fontId="0" fillId="0" borderId="3" xfId="0" applyNumberFormat="1" applyBorder="1"/>
    <xf numFmtId="167" fontId="1" fillId="8" borderId="1" xfId="10" applyNumberFormat="1" applyFont="1" applyFill="1" applyBorder="1"/>
    <xf numFmtId="167" fontId="1" fillId="8" borderId="0" xfId="10" applyNumberFormat="1" applyFont="1" applyFill="1" applyBorder="1"/>
    <xf numFmtId="9" fontId="8" fillId="8" borderId="0" xfId="13" applyFont="1" applyFill="1" applyBorder="1"/>
    <xf numFmtId="0" fontId="1" fillId="8" borderId="45" xfId="0" applyFont="1" applyFill="1" applyBorder="1"/>
    <xf numFmtId="0" fontId="1" fillId="8" borderId="39" xfId="0" applyFont="1" applyFill="1" applyBorder="1"/>
    <xf numFmtId="167" fontId="2" fillId="8" borderId="0" xfId="10" applyNumberFormat="1" applyFont="1" applyFill="1" applyBorder="1"/>
    <xf numFmtId="169" fontId="1" fillId="8" borderId="0" xfId="10" applyNumberFormat="1" applyFont="1" applyFill="1" applyBorder="1"/>
    <xf numFmtId="0" fontId="1" fillId="11" borderId="38" xfId="0" applyFont="1" applyFill="1" applyBorder="1" applyAlignment="1">
      <alignment horizontal="left" indent="1"/>
    </xf>
    <xf numFmtId="183" fontId="2" fillId="8" borderId="0" xfId="0" applyNumberFormat="1" applyFont="1" applyFill="1"/>
    <xf numFmtId="9" fontId="2" fillId="8" borderId="0" xfId="0" applyNumberFormat="1" applyFont="1" applyFill="1" applyAlignment="1">
      <alignment horizontal="right"/>
    </xf>
    <xf numFmtId="9" fontId="2" fillId="8" borderId="0" xfId="0" applyNumberFormat="1" applyFont="1" applyFill="1"/>
    <xf numFmtId="0" fontId="2" fillId="0" borderId="45" xfId="0" applyFont="1" applyBorder="1"/>
    <xf numFmtId="0" fontId="8" fillId="11" borderId="38" xfId="0" applyFont="1" applyFill="1" applyBorder="1" applyAlignment="1">
      <alignment horizontal="left" vertical="center"/>
    </xf>
    <xf numFmtId="0" fontId="2" fillId="0" borderId="0" xfId="0" applyFont="1" applyBorder="1" applyAlignment="1">
      <alignment vertical="center"/>
    </xf>
    <xf numFmtId="0" fontId="2" fillId="8" borderId="0" xfId="0" applyFont="1" applyFill="1" applyBorder="1"/>
    <xf numFmtId="184" fontId="8" fillId="8" borderId="0" xfId="0" applyNumberFormat="1" applyFont="1" applyFill="1" applyBorder="1" applyAlignment="1">
      <alignment vertical="center"/>
    </xf>
    <xf numFmtId="0" fontId="8" fillId="8" borderId="0" xfId="0" applyFont="1" applyFill="1" applyBorder="1" applyAlignment="1">
      <alignment vertical="center"/>
    </xf>
    <xf numFmtId="0" fontId="8" fillId="8" borderId="0" xfId="0" applyFont="1" applyFill="1" applyBorder="1" applyAlignment="1">
      <alignment horizontal="right" vertical="center"/>
    </xf>
    <xf numFmtId="0" fontId="2" fillId="8" borderId="45" xfId="0" applyFont="1" applyFill="1" applyBorder="1"/>
    <xf numFmtId="169" fontId="8" fillId="8" borderId="0" xfId="0" applyNumberFormat="1" applyFont="1" applyFill="1"/>
    <xf numFmtId="169" fontId="1" fillId="8" borderId="0" xfId="0" applyNumberFormat="1" applyFont="1" applyFill="1"/>
    <xf numFmtId="0" fontId="1" fillId="8" borderId="0" xfId="0" applyFont="1" applyFill="1"/>
    <xf numFmtId="169" fontId="2" fillId="8" borderId="0" xfId="0" applyNumberFormat="1" applyFont="1" applyFill="1"/>
    <xf numFmtId="169" fontId="1" fillId="0" borderId="0" xfId="0" applyNumberFormat="1" applyFont="1"/>
    <xf numFmtId="166" fontId="2" fillId="8" borderId="0" xfId="1" applyFill="1"/>
    <xf numFmtId="164" fontId="2" fillId="8" borderId="0" xfId="0" applyNumberFormat="1" applyFont="1" applyFill="1" applyAlignment="1">
      <alignment vertical="center"/>
    </xf>
    <xf numFmtId="169" fontId="1" fillId="8" borderId="0" xfId="0" applyNumberFormat="1" applyFont="1" applyFill="1" applyAlignment="1">
      <alignment vertical="center"/>
    </xf>
    <xf numFmtId="169" fontId="2" fillId="8" borderId="0" xfId="0" applyNumberFormat="1" applyFont="1" applyFill="1" applyAlignment="1">
      <alignment vertical="center"/>
    </xf>
    <xf numFmtId="0" fontId="2" fillId="0" borderId="0" xfId="0" applyFont="1" applyFill="1" applyBorder="1"/>
    <xf numFmtId="3" fontId="2" fillId="0" borderId="0" xfId="0" applyNumberFormat="1" applyFont="1" applyBorder="1"/>
    <xf numFmtId="170" fontId="2" fillId="0" borderId="0" xfId="0" applyNumberFormat="1" applyFont="1" applyBorder="1"/>
    <xf numFmtId="185" fontId="2" fillId="0" borderId="0" xfId="10" applyNumberFormat="1" applyFont="1" applyBorder="1"/>
    <xf numFmtId="185" fontId="0" fillId="0" borderId="0" xfId="0" applyNumberFormat="1"/>
    <xf numFmtId="0" fontId="0" fillId="0" borderId="0" xfId="0" applyAlignment="1">
      <alignment horizontal="left" vertical="center" wrapText="1"/>
    </xf>
    <xf numFmtId="0" fontId="2" fillId="0" borderId="0" xfId="0" applyFont="1" applyAlignment="1">
      <alignment horizontal="center"/>
    </xf>
    <xf numFmtId="0" fontId="0" fillId="0" borderId="0" xfId="0" applyAlignment="1">
      <alignment horizontal="center"/>
    </xf>
    <xf numFmtId="0" fontId="8" fillId="0" borderId="0" xfId="0" applyFont="1" applyAlignment="1">
      <alignment horizontal="left" vertical="top" wrapText="1"/>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cellXfs>
  <cellStyles count="20">
    <cellStyle name="CALC Amount" xfId="1" xr:uid="{00000000-0005-0000-0000-000000000000}"/>
    <cellStyle name="CALC Amount 2" xfId="2" xr:uid="{00000000-0005-0000-0000-000001000000}"/>
    <cellStyle name="CALC Currency" xfId="3" xr:uid="{00000000-0005-0000-0000-000002000000}"/>
    <cellStyle name="CALC Currency 2" xfId="4" xr:uid="{00000000-0005-0000-0000-000003000000}"/>
    <cellStyle name="Collegamento ipertestuale" xfId="5" builtinId="8"/>
    <cellStyle name="Collegamento ipertestuale 2" xfId="6" xr:uid="{00000000-0005-0000-0000-000005000000}"/>
    <cellStyle name="Excel_BuiltIn_Titolo 1" xfId="7" xr:uid="{00000000-0005-0000-0000-000006000000}"/>
    <cellStyle name="LABEL Note" xfId="8" xr:uid="{00000000-0005-0000-0000-000007000000}"/>
    <cellStyle name="LABEL Note 2" xfId="9" xr:uid="{00000000-0005-0000-0000-000008000000}"/>
    <cellStyle name="Migliaia" xfId="10" builtinId="3"/>
    <cellStyle name="Migliaia 2" xfId="11" xr:uid="{00000000-0005-0000-0000-00000A000000}"/>
    <cellStyle name="Normale" xfId="0" builtinId="0"/>
    <cellStyle name="Normale 2" xfId="12" xr:uid="{00000000-0005-0000-0000-00000C000000}"/>
    <cellStyle name="Percentuale" xfId="13" builtinId="5"/>
    <cellStyle name="Percentuale 2" xfId="14" xr:uid="{00000000-0005-0000-0000-00000E000000}"/>
    <cellStyle name="TIME Detail" xfId="15" xr:uid="{00000000-0005-0000-0000-00000F000000}"/>
    <cellStyle name="TIME Period Start" xfId="16" xr:uid="{00000000-0005-0000-0000-000010000000}"/>
    <cellStyle name="TIME Period Start 2" xfId="17" xr:uid="{00000000-0005-0000-0000-000011000000}"/>
    <cellStyle name="Titolo 1" xfId="18" builtinId="16"/>
    <cellStyle name="Titolo 3" xfId="19" builtin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it-IT"/>
              <a:t>RAU Comparsion</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it-IT"/>
        </a:p>
      </c:txPr>
    </c:title>
    <c:autoTitleDeleted val="0"/>
    <c:plotArea>
      <c:layout/>
      <c:lineChart>
        <c:grouping val="standard"/>
        <c:varyColors val="0"/>
        <c:ser>
          <c:idx val="0"/>
          <c:order val="0"/>
          <c:tx>
            <c:strRef>
              <c:f>Graphs!$B$7</c:f>
              <c:strCache>
                <c:ptCount val="1"/>
                <c:pt idx="0">
                  <c:v>Production value</c:v>
                </c:pt>
              </c:strCache>
            </c:strRef>
          </c:tx>
          <c:spPr>
            <a:ln w="22225" cap="rnd">
              <a:solidFill>
                <a:schemeClr val="accent1"/>
              </a:solidFill>
              <a:round/>
            </a:ln>
            <a:effectLst/>
          </c:spPr>
          <c:marker>
            <c:symbol val="diamond"/>
            <c:size val="6"/>
            <c:spPr>
              <a:solidFill>
                <a:schemeClr val="accent1"/>
              </a:solidFill>
              <a:ln w="9525">
                <a:solidFill>
                  <a:schemeClr val="accent1"/>
                </a:solidFill>
                <a:round/>
              </a:ln>
              <a:effectLst/>
            </c:spPr>
          </c:marker>
          <c:cat>
            <c:numRef>
              <c:f>Graphs!$C$6:$H$6</c:f>
              <c:numCache>
                <c:formatCode>General</c:formatCode>
                <c:ptCount val="6"/>
                <c:pt idx="0">
                  <c:v>2021</c:v>
                </c:pt>
                <c:pt idx="1">
                  <c:v>2022</c:v>
                </c:pt>
                <c:pt idx="2">
                  <c:v>2023</c:v>
                </c:pt>
                <c:pt idx="3">
                  <c:v>2024</c:v>
                </c:pt>
                <c:pt idx="4">
                  <c:v>2025</c:v>
                </c:pt>
                <c:pt idx="5">
                  <c:v>2026</c:v>
                </c:pt>
              </c:numCache>
            </c:numRef>
          </c:cat>
          <c:val>
            <c:numRef>
              <c:f>Graphs!$C$7:$H$7</c:f>
              <c:numCache>
                <c:formatCode>"€"\ #,##0</c:formatCode>
                <c:ptCount val="6"/>
                <c:pt idx="0">
                  <c:v>618333.33333333349</c:v>
                </c:pt>
                <c:pt idx="1">
                  <c:v>15868382.260191355</c:v>
                </c:pt>
                <c:pt idx="2">
                  <c:v>82763830.721210986</c:v>
                </c:pt>
                <c:pt idx="3">
                  <c:v>189014250.59499994</c:v>
                </c:pt>
                <c:pt idx="4">
                  <c:v>285641648.76089346</c:v>
                </c:pt>
                <c:pt idx="5">
                  <c:v>394048244.62473941</c:v>
                </c:pt>
              </c:numCache>
            </c:numRef>
          </c:val>
          <c:smooth val="0"/>
          <c:extLst>
            <c:ext xmlns:c16="http://schemas.microsoft.com/office/drawing/2014/chart" uri="{C3380CC4-5D6E-409C-BE32-E72D297353CC}">
              <c16:uniqueId val="{00000000-4A8C-4415-BE00-BB03BBA9C480}"/>
            </c:ext>
          </c:extLst>
        </c:ser>
        <c:ser>
          <c:idx val="1"/>
          <c:order val="1"/>
          <c:tx>
            <c:strRef>
              <c:f>Graphs!$B$8</c:f>
              <c:strCache>
                <c:ptCount val="1"/>
                <c:pt idx="0">
                  <c:v>Depreciation and provisions</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cat>
            <c:numRef>
              <c:f>Graphs!$C$6:$H$6</c:f>
              <c:numCache>
                <c:formatCode>General</c:formatCode>
                <c:ptCount val="6"/>
                <c:pt idx="0">
                  <c:v>2021</c:v>
                </c:pt>
                <c:pt idx="1">
                  <c:v>2022</c:v>
                </c:pt>
                <c:pt idx="2">
                  <c:v>2023</c:v>
                </c:pt>
                <c:pt idx="3">
                  <c:v>2024</c:v>
                </c:pt>
                <c:pt idx="4">
                  <c:v>2025</c:v>
                </c:pt>
                <c:pt idx="5">
                  <c:v>2026</c:v>
                </c:pt>
              </c:numCache>
            </c:numRef>
          </c:cat>
          <c:val>
            <c:numRef>
              <c:f>Graphs!$C$8:$H$8</c:f>
              <c:numCache>
                <c:formatCode>"€"\ #,##0</c:formatCode>
                <c:ptCount val="6"/>
                <c:pt idx="0">
                  <c:v>59895.436677063561</c:v>
                </c:pt>
                <c:pt idx="1">
                  <c:v>468837.53290152829</c:v>
                </c:pt>
                <c:pt idx="2">
                  <c:v>5061601.3197296215</c:v>
                </c:pt>
                <c:pt idx="3">
                  <c:v>6790070.8998444453</c:v>
                </c:pt>
                <c:pt idx="4">
                  <c:v>8528714.7401867658</c:v>
                </c:pt>
                <c:pt idx="5">
                  <c:v>10742809.279852629</c:v>
                </c:pt>
              </c:numCache>
            </c:numRef>
          </c:val>
          <c:smooth val="0"/>
          <c:extLst>
            <c:ext xmlns:c16="http://schemas.microsoft.com/office/drawing/2014/chart" uri="{C3380CC4-5D6E-409C-BE32-E72D297353CC}">
              <c16:uniqueId val="{00000001-4A8C-4415-BE00-BB03BBA9C480}"/>
            </c:ext>
          </c:extLst>
        </c:ser>
        <c:ser>
          <c:idx val="2"/>
          <c:order val="2"/>
          <c:tx>
            <c:strRef>
              <c:f>Graphs!$B$9</c:f>
              <c:strCache>
                <c:ptCount val="1"/>
                <c:pt idx="0">
                  <c:v>EBT</c:v>
                </c:pt>
              </c:strCache>
            </c:strRef>
          </c:tx>
          <c:spPr>
            <a:ln w="22225" cap="rnd">
              <a:solidFill>
                <a:schemeClr val="accent3"/>
              </a:solidFill>
              <a:round/>
            </a:ln>
            <a:effectLst/>
          </c:spPr>
          <c:marker>
            <c:symbol val="triangle"/>
            <c:size val="6"/>
            <c:spPr>
              <a:solidFill>
                <a:schemeClr val="accent3"/>
              </a:solidFill>
              <a:ln w="9525">
                <a:solidFill>
                  <a:schemeClr val="accent3"/>
                </a:solidFill>
                <a:round/>
              </a:ln>
              <a:effectLst/>
            </c:spPr>
          </c:marker>
          <c:cat>
            <c:numRef>
              <c:f>Graphs!$C$6:$H$6</c:f>
              <c:numCache>
                <c:formatCode>General</c:formatCode>
                <c:ptCount val="6"/>
                <c:pt idx="0">
                  <c:v>2021</c:v>
                </c:pt>
                <c:pt idx="1">
                  <c:v>2022</c:v>
                </c:pt>
                <c:pt idx="2">
                  <c:v>2023</c:v>
                </c:pt>
                <c:pt idx="3">
                  <c:v>2024</c:v>
                </c:pt>
                <c:pt idx="4">
                  <c:v>2025</c:v>
                </c:pt>
                <c:pt idx="5">
                  <c:v>2026</c:v>
                </c:pt>
              </c:numCache>
            </c:numRef>
          </c:cat>
          <c:val>
            <c:numRef>
              <c:f>Graphs!$C$9:$H$9</c:f>
              <c:numCache>
                <c:formatCode>"€"\ #,##0</c:formatCode>
                <c:ptCount val="6"/>
                <c:pt idx="0">
                  <c:v>-613063.63926940633</c:v>
                </c:pt>
                <c:pt idx="1">
                  <c:v>6106333.7469700165</c:v>
                </c:pt>
                <c:pt idx="2">
                  <c:v>52182134.564156331</c:v>
                </c:pt>
                <c:pt idx="3">
                  <c:v>123765954.96349953</c:v>
                </c:pt>
                <c:pt idx="4">
                  <c:v>191542275.23814866</c:v>
                </c:pt>
                <c:pt idx="5">
                  <c:v>258393989.00987837</c:v>
                </c:pt>
              </c:numCache>
            </c:numRef>
          </c:val>
          <c:smooth val="0"/>
          <c:extLst>
            <c:ext xmlns:c16="http://schemas.microsoft.com/office/drawing/2014/chart" uri="{C3380CC4-5D6E-409C-BE32-E72D297353CC}">
              <c16:uniqueId val="{00000002-4A8C-4415-BE00-BB03BBA9C480}"/>
            </c:ext>
          </c:extLst>
        </c:ser>
        <c:dLbls>
          <c:showLegendKey val="0"/>
          <c:showVal val="0"/>
          <c:showCatName val="0"/>
          <c:showSerName val="0"/>
          <c:showPercent val="0"/>
          <c:showBubbleSize val="0"/>
        </c:dLbls>
        <c:marker val="1"/>
        <c:smooth val="0"/>
        <c:axId val="348609040"/>
        <c:axId val="1"/>
      </c:lineChart>
      <c:catAx>
        <c:axId val="3486090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it-IT"/>
          </a:p>
        </c:txPr>
        <c:crossAx val="1"/>
        <c:crosses val="autoZero"/>
        <c:auto val="1"/>
        <c:lblAlgn val="ctr"/>
        <c:lblOffset val="100"/>
        <c:noMultiLvlLbl val="0"/>
      </c:catAx>
      <c:valAx>
        <c:axId val="1"/>
        <c:scaling>
          <c:orientation val="minMax"/>
        </c:scaling>
        <c:delete val="0"/>
        <c:axPos val="l"/>
        <c:numFmt formatCode="&quot;€&quot;\ #,##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34860904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it-IT"/>
              <a:t>AF evolution</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it-IT"/>
        </a:p>
      </c:txPr>
    </c:title>
    <c:autoTitleDeleted val="0"/>
    <c:plotArea>
      <c:layout/>
      <c:barChart>
        <c:barDir val="col"/>
        <c:grouping val="clustered"/>
        <c:varyColors val="0"/>
        <c:ser>
          <c:idx val="0"/>
          <c:order val="0"/>
          <c:tx>
            <c:strRef>
              <c:f>Graphs!$B$207</c:f>
              <c:strCache>
                <c:ptCount val="1"/>
                <c:pt idx="0">
                  <c:v>Depreciation and provisions</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Graphs!$C$206:$H$206</c:f>
              <c:numCache>
                <c:formatCode>General</c:formatCode>
                <c:ptCount val="6"/>
                <c:pt idx="0">
                  <c:v>2021</c:v>
                </c:pt>
                <c:pt idx="1">
                  <c:v>2022</c:v>
                </c:pt>
                <c:pt idx="2">
                  <c:v>2023</c:v>
                </c:pt>
                <c:pt idx="3">
                  <c:v>2024</c:v>
                </c:pt>
                <c:pt idx="4">
                  <c:v>2025</c:v>
                </c:pt>
                <c:pt idx="5">
                  <c:v>2026</c:v>
                </c:pt>
              </c:numCache>
            </c:numRef>
          </c:cat>
          <c:val>
            <c:numRef>
              <c:f>Graphs!$C$207:$H$207</c:f>
              <c:numCache>
                <c:formatCode>"€"\ #,##0</c:formatCode>
                <c:ptCount val="6"/>
                <c:pt idx="0">
                  <c:v>59895.436677063561</c:v>
                </c:pt>
                <c:pt idx="1">
                  <c:v>468837.53290152829</c:v>
                </c:pt>
                <c:pt idx="2">
                  <c:v>5061601.3197296215</c:v>
                </c:pt>
                <c:pt idx="3">
                  <c:v>6790070.8998444453</c:v>
                </c:pt>
                <c:pt idx="4">
                  <c:v>8528714.7401867658</c:v>
                </c:pt>
                <c:pt idx="5">
                  <c:v>10742809.279852629</c:v>
                </c:pt>
              </c:numCache>
            </c:numRef>
          </c:val>
          <c:extLst>
            <c:ext xmlns:c16="http://schemas.microsoft.com/office/drawing/2014/chart" uri="{C3380CC4-5D6E-409C-BE32-E72D297353CC}">
              <c16:uniqueId val="{00000000-09EB-4D6B-B2D2-826A5037DBDF}"/>
            </c:ext>
          </c:extLst>
        </c:ser>
        <c:ser>
          <c:idx val="1"/>
          <c:order val="1"/>
          <c:tx>
            <c:strRef>
              <c:f>Graphs!$B$208</c:f>
              <c:strCache>
                <c:ptCount val="1"/>
                <c:pt idx="0">
                  <c:v>Profit for the year</c:v>
                </c:pt>
              </c:strCache>
            </c:strRef>
          </c:tx>
          <c:spPr>
            <a:pattFill prst="narHorz">
              <a:fgClr>
                <a:schemeClr val="accent2"/>
              </a:fgClr>
              <a:bgClr>
                <a:schemeClr val="accent2">
                  <a:lumMod val="20000"/>
                  <a:lumOff val="80000"/>
                </a:schemeClr>
              </a:bgClr>
            </a:pattFill>
            <a:ln>
              <a:noFill/>
            </a:ln>
            <a:effectLst>
              <a:innerShdw blurRad="114300">
                <a:schemeClr val="accent2"/>
              </a:innerShdw>
            </a:effectLst>
          </c:spPr>
          <c:invertIfNegative val="0"/>
          <c:dLbls>
            <c:dLbl>
              <c:idx val="0"/>
              <c:layout>
                <c:manualLayout>
                  <c:x val="3.1007751937984496E-3"/>
                  <c:y val="3.381680550800732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9EB-4D6B-B2D2-826A5037DBDF}"/>
                </c:ext>
              </c:extLst>
            </c:dLbl>
            <c:dLbl>
              <c:idx val="1"/>
              <c:layout>
                <c:manualLayout>
                  <c:x val="-5.6846888519531126E-17"/>
                  <c:y val="-3.381642512077294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9EB-4D6B-B2D2-826A5037DBD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Graphs!$C$206:$H$206</c:f>
              <c:numCache>
                <c:formatCode>General</c:formatCode>
                <c:ptCount val="6"/>
                <c:pt idx="0">
                  <c:v>2021</c:v>
                </c:pt>
                <c:pt idx="1">
                  <c:v>2022</c:v>
                </c:pt>
                <c:pt idx="2">
                  <c:v>2023</c:v>
                </c:pt>
                <c:pt idx="3">
                  <c:v>2024</c:v>
                </c:pt>
                <c:pt idx="4">
                  <c:v>2025</c:v>
                </c:pt>
                <c:pt idx="5">
                  <c:v>2026</c:v>
                </c:pt>
              </c:numCache>
            </c:numRef>
          </c:cat>
          <c:val>
            <c:numRef>
              <c:f>Graphs!$C$208:$H$208</c:f>
              <c:numCache>
                <c:formatCode>"€"\ #,##0</c:formatCode>
                <c:ptCount val="6"/>
                <c:pt idx="0">
                  <c:v>-613063.63926940633</c:v>
                </c:pt>
                <c:pt idx="1">
                  <c:v>6277957.6932439888</c:v>
                </c:pt>
                <c:pt idx="2">
                  <c:v>50393188.194616541</c:v>
                </c:pt>
                <c:pt idx="3">
                  <c:v>108880472.6253062</c:v>
                </c:pt>
                <c:pt idx="4">
                  <c:v>156329258.75988516</c:v>
                </c:pt>
                <c:pt idx="5">
                  <c:v>203785427.76770186</c:v>
                </c:pt>
              </c:numCache>
            </c:numRef>
          </c:val>
          <c:extLst>
            <c:ext xmlns:c16="http://schemas.microsoft.com/office/drawing/2014/chart" uri="{C3380CC4-5D6E-409C-BE32-E72D297353CC}">
              <c16:uniqueId val="{00000003-09EB-4D6B-B2D2-826A5037DBDF}"/>
            </c:ext>
          </c:extLst>
        </c:ser>
        <c:dLbls>
          <c:dLblPos val="outEnd"/>
          <c:showLegendKey val="0"/>
          <c:showVal val="1"/>
          <c:showCatName val="0"/>
          <c:showSerName val="0"/>
          <c:showPercent val="0"/>
          <c:showBubbleSize val="0"/>
        </c:dLbls>
        <c:gapWidth val="164"/>
        <c:overlap val="-22"/>
        <c:axId val="182592848"/>
        <c:axId val="1"/>
      </c:barChart>
      <c:catAx>
        <c:axId val="182592848"/>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
        <c:crosses val="autoZero"/>
        <c:auto val="1"/>
        <c:lblAlgn val="ctr"/>
        <c:lblOffset val="100"/>
        <c:noMultiLvlLbl val="0"/>
      </c:catAx>
      <c:valAx>
        <c:axId val="1"/>
        <c:scaling>
          <c:orientation val="minMax"/>
        </c:scaling>
        <c:delete val="0"/>
        <c:axPos val="l"/>
        <c:numFmt formatCode="&quot;€&quot;\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8259284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it-IT"/>
              <a:t>EBITDA / EBT comparison</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it-IT"/>
        </a:p>
      </c:txPr>
    </c:title>
    <c:autoTitleDeleted val="0"/>
    <c:plotArea>
      <c:layout/>
      <c:barChart>
        <c:barDir val="col"/>
        <c:grouping val="clustered"/>
        <c:varyColors val="0"/>
        <c:ser>
          <c:idx val="0"/>
          <c:order val="0"/>
          <c:tx>
            <c:strRef>
              <c:f>Graphs!$B$228</c:f>
              <c:strCache>
                <c:ptCount val="1"/>
                <c:pt idx="0">
                  <c:v>EBITDA</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dLbl>
              <c:idx val="0"/>
              <c:layout>
                <c:manualLayout>
                  <c:x val="0"/>
                  <c:y val="8.796296296296313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C31-4E62-8FF0-F673FA71B3F2}"/>
                </c:ext>
              </c:extLst>
            </c:dLbl>
            <c:dLbl>
              <c:idx val="2"/>
              <c:layout>
                <c:manualLayout>
                  <c:x val="-2.2222222222222272E-2"/>
                  <c:y val="-9.259259259259258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C31-4E62-8FF0-F673FA71B3F2}"/>
                </c:ext>
              </c:extLst>
            </c:dLbl>
            <c:dLbl>
              <c:idx val="3"/>
              <c:layout>
                <c:manualLayout>
                  <c:x val="-2.2222222222222223E-2"/>
                  <c:y val="-5.55555555555556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C31-4E62-8FF0-F673FA71B3F2}"/>
                </c:ext>
              </c:extLst>
            </c:dLbl>
            <c:dLbl>
              <c:idx val="4"/>
              <c:layout>
                <c:manualLayout>
                  <c:x val="-5.5555555555555657E-2"/>
                  <c:y val="-3.240740740740740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C31-4E62-8FF0-F673FA71B3F2}"/>
                </c:ext>
              </c:extLst>
            </c:dLbl>
            <c:dLbl>
              <c:idx val="5"/>
              <c:layout>
                <c:manualLayout>
                  <c:x val="-2.5000000000000001E-2"/>
                  <c:y val="-5.55555555555555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C31-4E62-8FF0-F673FA71B3F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Graphs!$C$227:$H$227</c:f>
              <c:numCache>
                <c:formatCode>General</c:formatCode>
                <c:ptCount val="6"/>
                <c:pt idx="0">
                  <c:v>2021</c:v>
                </c:pt>
                <c:pt idx="1">
                  <c:v>2022</c:v>
                </c:pt>
                <c:pt idx="2">
                  <c:v>2023</c:v>
                </c:pt>
                <c:pt idx="3">
                  <c:v>2024</c:v>
                </c:pt>
                <c:pt idx="4">
                  <c:v>2025</c:v>
                </c:pt>
                <c:pt idx="5">
                  <c:v>2026</c:v>
                </c:pt>
              </c:numCache>
            </c:numRef>
          </c:cat>
          <c:val>
            <c:numRef>
              <c:f>Graphs!$C$228:$H$228</c:f>
              <c:numCache>
                <c:formatCode>"€"\ #,##0</c:formatCode>
                <c:ptCount val="6"/>
                <c:pt idx="0">
                  <c:v>-553168.20259234274</c:v>
                </c:pt>
                <c:pt idx="1">
                  <c:v>6446553.1134920837</c:v>
                </c:pt>
                <c:pt idx="2">
                  <c:v>57041418.983588234</c:v>
                </c:pt>
                <c:pt idx="3">
                  <c:v>130186146.44384822</c:v>
                </c:pt>
                <c:pt idx="4">
                  <c:v>199364999.77898189</c:v>
                </c:pt>
                <c:pt idx="5">
                  <c:v>267877839.06157327</c:v>
                </c:pt>
              </c:numCache>
            </c:numRef>
          </c:val>
          <c:extLst>
            <c:ext xmlns:c16="http://schemas.microsoft.com/office/drawing/2014/chart" uri="{C3380CC4-5D6E-409C-BE32-E72D297353CC}">
              <c16:uniqueId val="{00000005-DC31-4E62-8FF0-F673FA71B3F2}"/>
            </c:ext>
          </c:extLst>
        </c:ser>
        <c:ser>
          <c:idx val="1"/>
          <c:order val="1"/>
          <c:tx>
            <c:strRef>
              <c:f>Graphs!$B$229</c:f>
              <c:strCache>
                <c:ptCount val="1"/>
                <c:pt idx="0">
                  <c:v>EBT</c:v>
                </c:pt>
              </c:strCache>
            </c:strRef>
          </c:tx>
          <c:spPr>
            <a:pattFill prst="narHorz">
              <a:fgClr>
                <a:schemeClr val="accent2"/>
              </a:fgClr>
              <a:bgClr>
                <a:schemeClr val="accent2">
                  <a:lumMod val="20000"/>
                  <a:lumOff val="80000"/>
                </a:schemeClr>
              </a:bgClr>
            </a:pattFill>
            <a:ln>
              <a:noFill/>
            </a:ln>
            <a:effectLst>
              <a:innerShdw blurRad="114300">
                <a:schemeClr val="accent2"/>
              </a:innerShdw>
            </a:effectLst>
          </c:spPr>
          <c:invertIfNegative val="0"/>
          <c:dLbls>
            <c:dLbl>
              <c:idx val="0"/>
              <c:layout>
                <c:manualLayout>
                  <c:x val="5.5555555555555558E-3"/>
                  <c:y val="-4.629629629629629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C31-4E62-8FF0-F673FA71B3F2}"/>
                </c:ext>
              </c:extLst>
            </c:dLbl>
            <c:dLbl>
              <c:idx val="1"/>
              <c:layout>
                <c:manualLayout>
                  <c:x val="0"/>
                  <c:y val="-7.407407407407415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C31-4E62-8FF0-F673FA71B3F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Graphs!$C$227:$H$227</c:f>
              <c:numCache>
                <c:formatCode>General</c:formatCode>
                <c:ptCount val="6"/>
                <c:pt idx="0">
                  <c:v>2021</c:v>
                </c:pt>
                <c:pt idx="1">
                  <c:v>2022</c:v>
                </c:pt>
                <c:pt idx="2">
                  <c:v>2023</c:v>
                </c:pt>
                <c:pt idx="3">
                  <c:v>2024</c:v>
                </c:pt>
                <c:pt idx="4">
                  <c:v>2025</c:v>
                </c:pt>
                <c:pt idx="5">
                  <c:v>2026</c:v>
                </c:pt>
              </c:numCache>
            </c:numRef>
          </c:cat>
          <c:val>
            <c:numRef>
              <c:f>Graphs!$C$229:$H$229</c:f>
              <c:numCache>
                <c:formatCode>"€"\ #,##0</c:formatCode>
                <c:ptCount val="6"/>
                <c:pt idx="0">
                  <c:v>-613063.63926940633</c:v>
                </c:pt>
                <c:pt idx="1">
                  <c:v>6106333.7469700165</c:v>
                </c:pt>
                <c:pt idx="2">
                  <c:v>52182134.564156331</c:v>
                </c:pt>
                <c:pt idx="3">
                  <c:v>123765954.96349953</c:v>
                </c:pt>
                <c:pt idx="4">
                  <c:v>191542275.23814866</c:v>
                </c:pt>
                <c:pt idx="5">
                  <c:v>258393989.00987837</c:v>
                </c:pt>
              </c:numCache>
            </c:numRef>
          </c:val>
          <c:extLst>
            <c:ext xmlns:c16="http://schemas.microsoft.com/office/drawing/2014/chart" uri="{C3380CC4-5D6E-409C-BE32-E72D297353CC}">
              <c16:uniqueId val="{00000008-DC31-4E62-8FF0-F673FA71B3F2}"/>
            </c:ext>
          </c:extLst>
        </c:ser>
        <c:dLbls>
          <c:showLegendKey val="0"/>
          <c:showVal val="0"/>
          <c:showCatName val="0"/>
          <c:showSerName val="0"/>
          <c:showPercent val="0"/>
          <c:showBubbleSize val="0"/>
        </c:dLbls>
        <c:gapWidth val="164"/>
        <c:overlap val="-22"/>
        <c:axId val="182588688"/>
        <c:axId val="1"/>
      </c:barChart>
      <c:catAx>
        <c:axId val="182588688"/>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
        <c:crosses val="autoZero"/>
        <c:auto val="1"/>
        <c:lblAlgn val="ctr"/>
        <c:lblOffset val="100"/>
        <c:noMultiLvlLbl val="0"/>
      </c:catAx>
      <c:valAx>
        <c:axId val="1"/>
        <c:scaling>
          <c:orientation val="minMax"/>
        </c:scaling>
        <c:delete val="0"/>
        <c:axPos val="l"/>
        <c:numFmt formatCode="&quot;€&quot;\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8258868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it-IT"/>
              <a:t>CI / AP coverage</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it-IT"/>
        </a:p>
      </c:txPr>
    </c:title>
    <c:autoTitleDeleted val="0"/>
    <c:plotArea>
      <c:layout/>
      <c:lineChart>
        <c:grouping val="standard"/>
        <c:varyColors val="0"/>
        <c:ser>
          <c:idx val="2"/>
          <c:order val="0"/>
          <c:tx>
            <c:strRef>
              <c:f>Graphs!$B$248</c:f>
              <c:strCache>
                <c:ptCount val="1"/>
                <c:pt idx="0">
                  <c:v>Net assets</c:v>
                </c:pt>
              </c:strCache>
            </c:strRef>
          </c:tx>
          <c:spPr>
            <a:ln w="22225" cap="rnd">
              <a:solidFill>
                <a:schemeClr val="accent3"/>
              </a:solidFill>
              <a:round/>
            </a:ln>
            <a:effectLst/>
          </c:spPr>
          <c:marker>
            <c:symbol val="triangle"/>
            <c:size val="6"/>
            <c:spPr>
              <a:solidFill>
                <a:schemeClr val="accent3"/>
              </a:solidFill>
              <a:ln w="9525">
                <a:solidFill>
                  <a:schemeClr val="accent3"/>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it-IT"/>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Graphs!$C$247:$H$247</c:f>
              <c:numCache>
                <c:formatCode>General</c:formatCode>
                <c:ptCount val="6"/>
                <c:pt idx="0">
                  <c:v>2021</c:v>
                </c:pt>
                <c:pt idx="1">
                  <c:v>2022</c:v>
                </c:pt>
                <c:pt idx="2">
                  <c:v>2023</c:v>
                </c:pt>
                <c:pt idx="3">
                  <c:v>2024</c:v>
                </c:pt>
                <c:pt idx="4">
                  <c:v>2025</c:v>
                </c:pt>
                <c:pt idx="5">
                  <c:v>2026</c:v>
                </c:pt>
              </c:numCache>
            </c:numRef>
          </c:cat>
          <c:val>
            <c:numRef>
              <c:f>Graphs!$C$248:$H$248</c:f>
              <c:numCache>
                <c:formatCode>"€"\ #,##0</c:formatCode>
                <c:ptCount val="6"/>
                <c:pt idx="0">
                  <c:v>751936.36073059367</c:v>
                </c:pt>
                <c:pt idx="1">
                  <c:v>7029894.0539745828</c:v>
                </c:pt>
                <c:pt idx="2">
                  <c:v>57423082.248591125</c:v>
                </c:pt>
                <c:pt idx="3">
                  <c:v>156224917.234974</c:v>
                </c:pt>
                <c:pt idx="4">
                  <c:v>289968671.84619063</c:v>
                </c:pt>
                <c:pt idx="5">
                  <c:v>479519463.7735188</c:v>
                </c:pt>
              </c:numCache>
            </c:numRef>
          </c:val>
          <c:smooth val="0"/>
          <c:extLst>
            <c:ext xmlns:c16="http://schemas.microsoft.com/office/drawing/2014/chart" uri="{C3380CC4-5D6E-409C-BE32-E72D297353CC}">
              <c16:uniqueId val="{00000000-9081-4B14-8F9E-A83D07C1EA62}"/>
            </c:ext>
          </c:extLst>
        </c:ser>
        <c:ser>
          <c:idx val="3"/>
          <c:order val="1"/>
          <c:tx>
            <c:strRef>
              <c:f>Graphs!$B$249</c:f>
              <c:strCache>
                <c:ptCount val="1"/>
                <c:pt idx="0">
                  <c:v>Total passivity</c:v>
                </c:pt>
              </c:strCache>
            </c:strRef>
          </c:tx>
          <c:spPr>
            <a:ln w="22225" cap="rnd">
              <a:solidFill>
                <a:schemeClr val="accent4"/>
              </a:solidFill>
              <a:round/>
            </a:ln>
            <a:effectLst/>
          </c:spPr>
          <c:marker>
            <c:symbol val="x"/>
            <c:size val="6"/>
            <c:spPr>
              <a:noFill/>
              <a:ln w="9525">
                <a:solidFill>
                  <a:schemeClr val="accent4"/>
                </a:solidFill>
                <a:round/>
              </a:ln>
              <a:effectLst/>
            </c:spPr>
          </c:marker>
          <c:dLbls>
            <c:dLbl>
              <c:idx val="0"/>
              <c:layout>
                <c:manualLayout>
                  <c:x val="-8.0594196558763487E-2"/>
                  <c:y val="-0.1071760218569171"/>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D1A-40CC-AA83-90323EAA7C75}"/>
                </c:ext>
              </c:extLst>
            </c:dLbl>
            <c:dLbl>
              <c:idx val="1"/>
              <c:layout>
                <c:manualLayout>
                  <c:x val="-8.8048021775055899E-2"/>
                  <c:y val="-0.1071760218569171"/>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D1A-40CC-AA83-90323EAA7C75}"/>
                </c:ext>
              </c:extLst>
            </c:dLbl>
            <c:dLbl>
              <c:idx val="3"/>
              <c:layout>
                <c:manualLayout>
                  <c:x val="-0.11051715757752514"/>
                  <c:y val="-4.38231953461957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D1A-40CC-AA83-90323EAA7C75}"/>
                </c:ext>
              </c:extLst>
            </c:dLbl>
            <c:dLbl>
              <c:idx val="4"/>
              <c:layout>
                <c:manualLayout>
                  <c:x val="-9.8171478565179354E-2"/>
                  <c:y val="-3.89499009992172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D1A-40CC-AA83-90323EAA7C75}"/>
                </c:ext>
              </c:extLst>
            </c:dLbl>
            <c:dLbl>
              <c:idx val="5"/>
              <c:layout>
                <c:manualLayout>
                  <c:x val="-1.4476766793039759E-2"/>
                  <c:y val="-9.7429433162959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D1A-40CC-AA83-90323EAA7C7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it-IT"/>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Graphs!$C$247:$H$247</c:f>
              <c:numCache>
                <c:formatCode>General</c:formatCode>
                <c:ptCount val="6"/>
                <c:pt idx="0">
                  <c:v>2021</c:v>
                </c:pt>
                <c:pt idx="1">
                  <c:v>2022</c:v>
                </c:pt>
                <c:pt idx="2">
                  <c:v>2023</c:v>
                </c:pt>
                <c:pt idx="3">
                  <c:v>2024</c:v>
                </c:pt>
                <c:pt idx="4">
                  <c:v>2025</c:v>
                </c:pt>
                <c:pt idx="5">
                  <c:v>2026</c:v>
                </c:pt>
              </c:numCache>
            </c:numRef>
          </c:cat>
          <c:val>
            <c:numRef>
              <c:f>Graphs!$C$249:$H$249</c:f>
              <c:numCache>
                <c:formatCode>"€"\ #,##0</c:formatCode>
                <c:ptCount val="6"/>
                <c:pt idx="0">
                  <c:v>433700.25068502582</c:v>
                </c:pt>
                <c:pt idx="1">
                  <c:v>2185126.6983801601</c:v>
                </c:pt>
                <c:pt idx="2">
                  <c:v>13036877.419070303</c:v>
                </c:pt>
                <c:pt idx="3">
                  <c:v>10481190.012146205</c:v>
                </c:pt>
                <c:pt idx="4">
                  <c:v>18226808.673410714</c:v>
                </c:pt>
                <c:pt idx="5">
                  <c:v>24855770.256194353</c:v>
                </c:pt>
              </c:numCache>
            </c:numRef>
          </c:val>
          <c:smooth val="0"/>
          <c:extLst>
            <c:ext xmlns:c16="http://schemas.microsoft.com/office/drawing/2014/chart" uri="{C3380CC4-5D6E-409C-BE32-E72D297353CC}">
              <c16:uniqueId val="{00000001-9081-4B14-8F9E-A83D07C1EA62}"/>
            </c:ext>
          </c:extLst>
        </c:ser>
        <c:dLbls>
          <c:dLblPos val="t"/>
          <c:showLegendKey val="0"/>
          <c:showVal val="1"/>
          <c:showCatName val="0"/>
          <c:showSerName val="0"/>
          <c:showPercent val="0"/>
          <c:showBubbleSize val="0"/>
        </c:dLbls>
        <c:marker val="1"/>
        <c:smooth val="0"/>
        <c:axId val="182579536"/>
        <c:axId val="1"/>
      </c:lineChart>
      <c:catAx>
        <c:axId val="1825795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it-IT"/>
          </a:p>
        </c:txPr>
        <c:crossAx val="1"/>
        <c:crosses val="autoZero"/>
        <c:auto val="1"/>
        <c:lblAlgn val="ctr"/>
        <c:lblOffset val="100"/>
        <c:noMultiLvlLbl val="0"/>
      </c:catAx>
      <c:valAx>
        <c:axId val="1"/>
        <c:scaling>
          <c:orientation val="minMax"/>
        </c:scaling>
        <c:delete val="0"/>
        <c:axPos val="l"/>
        <c:numFmt formatCode="&quot;€&quot;\ #,##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8257953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it-IT"/>
              <a:t>AI / AC ratio</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it-IT"/>
        </a:p>
      </c:txPr>
    </c:title>
    <c:autoTitleDeleted val="0"/>
    <c:plotArea>
      <c:layout/>
      <c:barChart>
        <c:barDir val="col"/>
        <c:grouping val="clustered"/>
        <c:varyColors val="0"/>
        <c:ser>
          <c:idx val="0"/>
          <c:order val="0"/>
          <c:tx>
            <c:strRef>
              <c:f>Graphs!$B$267</c:f>
              <c:strCache>
                <c:ptCount val="1"/>
                <c:pt idx="0">
                  <c:v>Net working capital</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dLbl>
              <c:idx val="0"/>
              <c:layout>
                <c:manualLayout>
                  <c:x val="0"/>
                  <c:y val="8.796296296296313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D4F-4806-B8C6-DA54E4CA648B}"/>
                </c:ext>
              </c:extLst>
            </c:dLbl>
            <c:dLbl>
              <c:idx val="2"/>
              <c:layout>
                <c:manualLayout>
                  <c:x val="-2.2222222222222272E-2"/>
                  <c:y val="-9.259259259259258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D4F-4806-B8C6-DA54E4CA648B}"/>
                </c:ext>
              </c:extLst>
            </c:dLbl>
            <c:dLbl>
              <c:idx val="3"/>
              <c:layout>
                <c:manualLayout>
                  <c:x val="-2.2222222222222223E-2"/>
                  <c:y val="-5.55555555555556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D4F-4806-B8C6-DA54E4CA648B}"/>
                </c:ext>
              </c:extLst>
            </c:dLbl>
            <c:dLbl>
              <c:idx val="4"/>
              <c:layout>
                <c:manualLayout>
                  <c:x val="-5.5555555555555657E-2"/>
                  <c:y val="-3.240740740740740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D4F-4806-B8C6-DA54E4CA648B}"/>
                </c:ext>
              </c:extLst>
            </c:dLbl>
            <c:dLbl>
              <c:idx val="5"/>
              <c:layout>
                <c:manualLayout>
                  <c:x val="-2.5000000000000001E-2"/>
                  <c:y val="-5.55555555555555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D4F-4806-B8C6-DA54E4CA648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Graphs!$C$266:$H$266</c:f>
              <c:numCache>
                <c:formatCode>General</c:formatCode>
                <c:ptCount val="6"/>
                <c:pt idx="0">
                  <c:v>2021</c:v>
                </c:pt>
                <c:pt idx="1">
                  <c:v>2022</c:v>
                </c:pt>
                <c:pt idx="2">
                  <c:v>2023</c:v>
                </c:pt>
                <c:pt idx="3">
                  <c:v>2024</c:v>
                </c:pt>
                <c:pt idx="4">
                  <c:v>2025</c:v>
                </c:pt>
                <c:pt idx="5">
                  <c:v>2026</c:v>
                </c:pt>
              </c:numCache>
            </c:numRef>
          </c:cat>
          <c:val>
            <c:numRef>
              <c:f>Graphs!$C$267:$H$267</c:f>
              <c:numCache>
                <c:formatCode>"€"\ #,##0</c:formatCode>
                <c:ptCount val="6"/>
                <c:pt idx="0">
                  <c:v>-52055.031819652671</c:v>
                </c:pt>
                <c:pt idx="1">
                  <c:v>812154.85537861043</c:v>
                </c:pt>
                <c:pt idx="2">
                  <c:v>5939300.4604520183</c:v>
                </c:pt>
                <c:pt idx="3">
                  <c:v>14572186.071195066</c:v>
                </c:pt>
                <c:pt idx="4">
                  <c:v>22577336.137448266</c:v>
                </c:pt>
                <c:pt idx="5">
                  <c:v>32057459.482271403</c:v>
                </c:pt>
              </c:numCache>
            </c:numRef>
          </c:val>
          <c:extLst>
            <c:ext xmlns:c16="http://schemas.microsoft.com/office/drawing/2014/chart" uri="{C3380CC4-5D6E-409C-BE32-E72D297353CC}">
              <c16:uniqueId val="{00000005-6D4F-4806-B8C6-DA54E4CA648B}"/>
            </c:ext>
          </c:extLst>
        </c:ser>
        <c:ser>
          <c:idx val="1"/>
          <c:order val="1"/>
          <c:tx>
            <c:strRef>
              <c:f>Graphs!$B$268</c:f>
              <c:strCache>
                <c:ptCount val="1"/>
                <c:pt idx="0">
                  <c:v>Active Immobilized</c:v>
                </c:pt>
              </c:strCache>
            </c:strRef>
          </c:tx>
          <c:spPr>
            <a:pattFill prst="narHorz">
              <a:fgClr>
                <a:schemeClr val="accent2"/>
              </a:fgClr>
              <a:bgClr>
                <a:schemeClr val="accent2">
                  <a:lumMod val="20000"/>
                  <a:lumOff val="80000"/>
                </a:schemeClr>
              </a:bgClr>
            </a:pattFill>
            <a:ln>
              <a:noFill/>
            </a:ln>
            <a:effectLst>
              <a:innerShdw blurRad="114300">
                <a:schemeClr val="accent2"/>
              </a:innerShdw>
            </a:effectLst>
          </c:spPr>
          <c:invertIfNegative val="0"/>
          <c:dLbls>
            <c:dLbl>
              <c:idx val="0"/>
              <c:layout>
                <c:manualLayout>
                  <c:x val="5.5555555555555558E-3"/>
                  <c:y val="-4.629629629629629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D4F-4806-B8C6-DA54E4CA648B}"/>
                </c:ext>
              </c:extLst>
            </c:dLbl>
            <c:dLbl>
              <c:idx val="1"/>
              <c:layout>
                <c:manualLayout>
                  <c:x val="0"/>
                  <c:y val="-7.407407407407415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D4F-4806-B8C6-DA54E4CA648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Graphs!$C$266:$H$266</c:f>
              <c:numCache>
                <c:formatCode>General</c:formatCode>
                <c:ptCount val="6"/>
                <c:pt idx="0">
                  <c:v>2021</c:v>
                </c:pt>
                <c:pt idx="1">
                  <c:v>2022</c:v>
                </c:pt>
                <c:pt idx="2">
                  <c:v>2023</c:v>
                </c:pt>
                <c:pt idx="3">
                  <c:v>2024</c:v>
                </c:pt>
                <c:pt idx="4">
                  <c:v>2025</c:v>
                </c:pt>
                <c:pt idx="5">
                  <c:v>2026</c:v>
                </c:pt>
              </c:numCache>
            </c:numRef>
          </c:cat>
          <c:val>
            <c:numRef>
              <c:f>Graphs!$C$268:$H$268</c:f>
              <c:numCache>
                <c:formatCode>"€"\ #,##0</c:formatCode>
                <c:ptCount val="6"/>
                <c:pt idx="0">
                  <c:v>205893.33333333331</c:v>
                </c:pt>
                <c:pt idx="1">
                  <c:v>623407.84091125918</c:v>
                </c:pt>
                <c:pt idx="2">
                  <c:v>27564868.91173251</c:v>
                </c:pt>
                <c:pt idx="3">
                  <c:v>29155546.708635919</c:v>
                </c:pt>
                <c:pt idx="4">
                  <c:v>33436475.516891871</c:v>
                </c:pt>
                <c:pt idx="5">
                  <c:v>40682333.55950439</c:v>
                </c:pt>
              </c:numCache>
            </c:numRef>
          </c:val>
          <c:extLst>
            <c:ext xmlns:c16="http://schemas.microsoft.com/office/drawing/2014/chart" uri="{C3380CC4-5D6E-409C-BE32-E72D297353CC}">
              <c16:uniqueId val="{00000008-6D4F-4806-B8C6-DA54E4CA648B}"/>
            </c:ext>
          </c:extLst>
        </c:ser>
        <c:dLbls>
          <c:showLegendKey val="0"/>
          <c:showVal val="0"/>
          <c:showCatName val="0"/>
          <c:showSerName val="0"/>
          <c:showPercent val="0"/>
          <c:showBubbleSize val="0"/>
        </c:dLbls>
        <c:gapWidth val="164"/>
        <c:overlap val="-22"/>
        <c:axId val="182596176"/>
        <c:axId val="1"/>
      </c:barChart>
      <c:catAx>
        <c:axId val="182596176"/>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
        <c:crosses val="autoZero"/>
        <c:auto val="1"/>
        <c:lblAlgn val="ctr"/>
        <c:lblOffset val="100"/>
        <c:noMultiLvlLbl val="0"/>
      </c:catAx>
      <c:valAx>
        <c:axId val="1"/>
        <c:scaling>
          <c:orientation val="minMax"/>
        </c:scaling>
        <c:delete val="0"/>
        <c:axPos val="l"/>
        <c:numFmt formatCode="&quot;€&quot;\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8259617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it-IT"/>
              <a:t>PN/RML</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it-IT"/>
        </a:p>
      </c:txPr>
    </c:title>
    <c:autoTitleDeleted val="0"/>
    <c:plotArea>
      <c:layout/>
      <c:barChart>
        <c:barDir val="col"/>
        <c:grouping val="stacked"/>
        <c:varyColors val="0"/>
        <c:ser>
          <c:idx val="0"/>
          <c:order val="0"/>
          <c:tx>
            <c:strRef>
              <c:f>Graphs!$B$289</c:f>
              <c:strCache>
                <c:ptCount val="1"/>
                <c:pt idx="0">
                  <c:v>Long-term debt</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dLbl>
              <c:idx val="0"/>
              <c:layout>
                <c:manualLayout>
                  <c:x val="0"/>
                  <c:y val="8.796296296296313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7C8-4671-A9B3-5AFB1D54C45B}"/>
                </c:ext>
              </c:extLst>
            </c:dLbl>
            <c:dLbl>
              <c:idx val="2"/>
              <c:layout>
                <c:manualLayout>
                  <c:x val="-2.2222222222222272E-2"/>
                  <c:y val="-9.259259259259258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7C8-4671-A9B3-5AFB1D54C45B}"/>
                </c:ext>
              </c:extLst>
            </c:dLbl>
            <c:dLbl>
              <c:idx val="3"/>
              <c:layout>
                <c:manualLayout>
                  <c:x val="-2.2222222222222223E-2"/>
                  <c:y val="-5.555555555555560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7C8-4671-A9B3-5AFB1D54C45B}"/>
                </c:ext>
              </c:extLst>
            </c:dLbl>
            <c:dLbl>
              <c:idx val="4"/>
              <c:layout>
                <c:manualLayout>
                  <c:x val="-5.5555555555555657E-2"/>
                  <c:y val="-3.240740740740740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7C8-4671-A9B3-5AFB1D54C45B}"/>
                </c:ext>
              </c:extLst>
            </c:dLbl>
            <c:dLbl>
              <c:idx val="5"/>
              <c:layout>
                <c:manualLayout>
                  <c:x val="-2.5000000000000001E-2"/>
                  <c:y val="-5.55555555555555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7C8-4671-A9B3-5AFB1D54C45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Graphs!$C$288:$H$288</c:f>
              <c:numCache>
                <c:formatCode>General</c:formatCode>
                <c:ptCount val="6"/>
                <c:pt idx="0">
                  <c:v>2021</c:v>
                </c:pt>
                <c:pt idx="1">
                  <c:v>2022</c:v>
                </c:pt>
                <c:pt idx="2">
                  <c:v>2023</c:v>
                </c:pt>
                <c:pt idx="3">
                  <c:v>2024</c:v>
                </c:pt>
                <c:pt idx="4">
                  <c:v>2025</c:v>
                </c:pt>
                <c:pt idx="5">
                  <c:v>2026</c:v>
                </c:pt>
              </c:numCache>
            </c:numRef>
          </c:cat>
          <c:val>
            <c:numRef>
              <c:f>Graphs!$C$289:$H$289</c:f>
              <c:numCache>
                <c:formatCode>"€"\ #,##0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5-77C8-4671-A9B3-5AFB1D54C45B}"/>
            </c:ext>
          </c:extLst>
        </c:ser>
        <c:ser>
          <c:idx val="1"/>
          <c:order val="1"/>
          <c:tx>
            <c:strRef>
              <c:f>Graphs!$B$290</c:f>
              <c:strCache>
                <c:ptCount val="1"/>
                <c:pt idx="0">
                  <c:v>Net assets</c:v>
                </c:pt>
              </c:strCache>
            </c:strRef>
          </c:tx>
          <c:spPr>
            <a:pattFill prst="narHorz">
              <a:fgClr>
                <a:schemeClr val="accent2"/>
              </a:fgClr>
              <a:bgClr>
                <a:schemeClr val="accent2">
                  <a:lumMod val="20000"/>
                  <a:lumOff val="80000"/>
                </a:schemeClr>
              </a:bgClr>
            </a:pattFill>
            <a:ln>
              <a:noFill/>
            </a:ln>
            <a:effectLst>
              <a:innerShdw blurRad="114300">
                <a:schemeClr val="accent2"/>
              </a:innerShdw>
            </a:effectLst>
          </c:spPr>
          <c:invertIfNegative val="0"/>
          <c:dLbls>
            <c:dLbl>
              <c:idx val="0"/>
              <c:layout>
                <c:manualLayout>
                  <c:x val="5.5555555555555558E-3"/>
                  <c:y val="-4.629629629629629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7C8-4671-A9B3-5AFB1D54C45B}"/>
                </c:ext>
              </c:extLst>
            </c:dLbl>
            <c:dLbl>
              <c:idx val="1"/>
              <c:layout>
                <c:manualLayout>
                  <c:x val="0"/>
                  <c:y val="-7.407407407407415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7C8-4671-A9B3-5AFB1D54C45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Graphs!$C$288:$H$288</c:f>
              <c:numCache>
                <c:formatCode>General</c:formatCode>
                <c:ptCount val="6"/>
                <c:pt idx="0">
                  <c:v>2021</c:v>
                </c:pt>
                <c:pt idx="1">
                  <c:v>2022</c:v>
                </c:pt>
                <c:pt idx="2">
                  <c:v>2023</c:v>
                </c:pt>
                <c:pt idx="3">
                  <c:v>2024</c:v>
                </c:pt>
                <c:pt idx="4">
                  <c:v>2025</c:v>
                </c:pt>
                <c:pt idx="5">
                  <c:v>2026</c:v>
                </c:pt>
              </c:numCache>
            </c:numRef>
          </c:cat>
          <c:val>
            <c:numRef>
              <c:f>Graphs!$C$290:$H$290</c:f>
              <c:numCache>
                <c:formatCode>"€"\ #,##0</c:formatCode>
                <c:ptCount val="6"/>
                <c:pt idx="0">
                  <c:v>751936.36073059367</c:v>
                </c:pt>
                <c:pt idx="1">
                  <c:v>7029894.0539745828</c:v>
                </c:pt>
                <c:pt idx="2">
                  <c:v>57423082.248591125</c:v>
                </c:pt>
                <c:pt idx="3">
                  <c:v>156224917.234974</c:v>
                </c:pt>
                <c:pt idx="4">
                  <c:v>289968671.84619063</c:v>
                </c:pt>
                <c:pt idx="5">
                  <c:v>479519463.7735188</c:v>
                </c:pt>
              </c:numCache>
            </c:numRef>
          </c:val>
          <c:extLst>
            <c:ext xmlns:c16="http://schemas.microsoft.com/office/drawing/2014/chart" uri="{C3380CC4-5D6E-409C-BE32-E72D297353CC}">
              <c16:uniqueId val="{00000008-77C8-4671-A9B3-5AFB1D54C45B}"/>
            </c:ext>
          </c:extLst>
        </c:ser>
        <c:dLbls>
          <c:showLegendKey val="0"/>
          <c:showVal val="0"/>
          <c:showCatName val="0"/>
          <c:showSerName val="0"/>
          <c:showPercent val="0"/>
          <c:showBubbleSize val="0"/>
        </c:dLbls>
        <c:gapWidth val="150"/>
        <c:overlap val="100"/>
        <c:axId val="182604912"/>
        <c:axId val="1"/>
      </c:barChart>
      <c:catAx>
        <c:axId val="182604912"/>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
        <c:crosses val="autoZero"/>
        <c:auto val="1"/>
        <c:lblAlgn val="ctr"/>
        <c:lblOffset val="100"/>
        <c:noMultiLvlLbl val="0"/>
      </c:catAx>
      <c:valAx>
        <c:axId val="1"/>
        <c:scaling>
          <c:orientation val="minMax"/>
        </c:scaling>
        <c:delete val="0"/>
        <c:axPos val="l"/>
        <c:majorGridlines>
          <c:spPr>
            <a:ln>
              <a:solidFill>
                <a:schemeClr val="tx1">
                  <a:lumMod val="15000"/>
                  <a:lumOff val="85000"/>
                </a:schemeClr>
              </a:solidFill>
            </a:ln>
            <a:effectLst/>
          </c:spPr>
        </c:majorGridlines>
        <c:numFmt formatCode="&quot;€&quot;\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8260491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it-IT"/>
              <a:t>Corporate Solvency</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it-IT"/>
        </a:p>
      </c:txPr>
    </c:title>
    <c:autoTitleDeleted val="0"/>
    <c:plotArea>
      <c:layout/>
      <c:barChart>
        <c:barDir val="col"/>
        <c:grouping val="clustered"/>
        <c:varyColors val="0"/>
        <c:ser>
          <c:idx val="0"/>
          <c:order val="0"/>
          <c:tx>
            <c:strRef>
              <c:f>Graphs!$B$310</c:f>
              <c:strCache>
                <c:ptCount val="1"/>
                <c:pt idx="0">
                  <c:v>Liquidity plus short-term assets</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dLbl>
              <c:idx val="0"/>
              <c:layout>
                <c:manualLayout>
                  <c:x val="-8.3333333333333332E-3"/>
                  <c:y val="1.388888888888880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6B-4C22-B437-DCFBCF7E3EC1}"/>
                </c:ext>
              </c:extLst>
            </c:dLbl>
            <c:dLbl>
              <c:idx val="2"/>
              <c:layout>
                <c:manualLayout>
                  <c:x val="-2.2222222222222272E-2"/>
                  <c:y val="-9.259259259259258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46B-4C22-B437-DCFBCF7E3EC1}"/>
                </c:ext>
              </c:extLst>
            </c:dLbl>
            <c:dLbl>
              <c:idx val="3"/>
              <c:layout>
                <c:manualLayout>
                  <c:x val="-2.2222222222222223E-2"/>
                  <c:y val="-5.55555555555556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46B-4C22-B437-DCFBCF7E3EC1}"/>
                </c:ext>
              </c:extLst>
            </c:dLbl>
            <c:dLbl>
              <c:idx val="4"/>
              <c:layout>
                <c:manualLayout>
                  <c:x val="-5.5555555555555657E-2"/>
                  <c:y val="-3.240740740740740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46B-4C22-B437-DCFBCF7E3EC1}"/>
                </c:ext>
              </c:extLst>
            </c:dLbl>
            <c:dLbl>
              <c:idx val="5"/>
              <c:layout>
                <c:manualLayout>
                  <c:x val="-2.5000000000000001E-2"/>
                  <c:y val="-5.55555555555555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46B-4C22-B437-DCFBCF7E3EC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Graphs!$C$309:$H$309</c:f>
              <c:numCache>
                <c:formatCode>General</c:formatCode>
                <c:ptCount val="6"/>
                <c:pt idx="0">
                  <c:v>2021</c:v>
                </c:pt>
                <c:pt idx="1">
                  <c:v>2022</c:v>
                </c:pt>
                <c:pt idx="2">
                  <c:v>2023</c:v>
                </c:pt>
                <c:pt idx="3">
                  <c:v>2024</c:v>
                </c:pt>
                <c:pt idx="4">
                  <c:v>2025</c:v>
                </c:pt>
                <c:pt idx="5">
                  <c:v>2026</c:v>
                </c:pt>
              </c:numCache>
            </c:numRef>
          </c:cat>
          <c:val>
            <c:numRef>
              <c:f>Graphs!$C$310:$H$310</c:f>
              <c:numCache>
                <c:formatCode>"€"\ #,##0</c:formatCode>
                <c:ptCount val="6"/>
                <c:pt idx="0">
                  <c:v>380238.84977159527</c:v>
                </c:pt>
                <c:pt idx="1">
                  <c:v>10806206.480362972</c:v>
                </c:pt>
                <c:pt idx="2">
                  <c:v>52685262.923757322</c:v>
                </c:pt>
                <c:pt idx="3">
                  <c:v>185659317.0328106</c:v>
                </c:pt>
                <c:pt idx="4">
                  <c:v>336837903.38165259</c:v>
                </c:pt>
                <c:pt idx="5">
                  <c:v>543888016.91537189</c:v>
                </c:pt>
              </c:numCache>
            </c:numRef>
          </c:val>
          <c:extLst>
            <c:ext xmlns:c16="http://schemas.microsoft.com/office/drawing/2014/chart" uri="{C3380CC4-5D6E-409C-BE32-E72D297353CC}">
              <c16:uniqueId val="{00000005-646B-4C22-B437-DCFBCF7E3EC1}"/>
            </c:ext>
          </c:extLst>
        </c:ser>
        <c:ser>
          <c:idx val="1"/>
          <c:order val="1"/>
          <c:tx>
            <c:strRef>
              <c:f>Graphs!$B$311</c:f>
              <c:strCache>
                <c:ptCount val="1"/>
                <c:pt idx="0">
                  <c:v>Short-term liabilities</c:v>
                </c:pt>
              </c:strCache>
            </c:strRef>
          </c:tx>
          <c:spPr>
            <a:pattFill prst="narHorz">
              <a:fgClr>
                <a:schemeClr val="accent2"/>
              </a:fgClr>
              <a:bgClr>
                <a:schemeClr val="accent2">
                  <a:lumMod val="20000"/>
                  <a:lumOff val="80000"/>
                </a:schemeClr>
              </a:bgClr>
            </a:pattFill>
            <a:ln>
              <a:noFill/>
            </a:ln>
            <a:effectLst>
              <a:innerShdw blurRad="114300">
                <a:schemeClr val="accent2"/>
              </a:innerShdw>
            </a:effectLst>
          </c:spPr>
          <c:invertIfNegative val="0"/>
          <c:dLbls>
            <c:dLbl>
              <c:idx val="0"/>
              <c:layout>
                <c:manualLayout>
                  <c:x val="5.5555555555555558E-3"/>
                  <c:y val="-4.629629629629629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46B-4C22-B437-DCFBCF7E3EC1}"/>
                </c:ext>
              </c:extLst>
            </c:dLbl>
            <c:dLbl>
              <c:idx val="1"/>
              <c:layout>
                <c:manualLayout>
                  <c:x val="0"/>
                  <c:y val="-7.407407407407415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46B-4C22-B437-DCFBCF7E3EC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Graphs!$C$309:$H$309</c:f>
              <c:numCache>
                <c:formatCode>General</c:formatCode>
                <c:ptCount val="6"/>
                <c:pt idx="0">
                  <c:v>2021</c:v>
                </c:pt>
                <c:pt idx="1">
                  <c:v>2022</c:v>
                </c:pt>
                <c:pt idx="2">
                  <c:v>2023</c:v>
                </c:pt>
                <c:pt idx="3">
                  <c:v>2024</c:v>
                </c:pt>
                <c:pt idx="4">
                  <c:v>2025</c:v>
                </c:pt>
                <c:pt idx="5">
                  <c:v>2026</c:v>
                </c:pt>
              </c:numCache>
            </c:numRef>
          </c:cat>
          <c:val>
            <c:numRef>
              <c:f>Graphs!$C$311:$H$311</c:f>
              <c:numCache>
                <c:formatCode>"€"\ #,##0</c:formatCode>
                <c:ptCount val="6"/>
                <c:pt idx="0">
                  <c:v>165804.17762566515</c:v>
                </c:pt>
                <c:pt idx="1">
                  <c:v>4399720.2672996493</c:v>
                </c:pt>
                <c:pt idx="2">
                  <c:v>22827049.586898714</c:v>
                </c:pt>
                <c:pt idx="3">
                  <c:v>58589946.50647255</c:v>
                </c:pt>
                <c:pt idx="4">
                  <c:v>80305707.052353874</c:v>
                </c:pt>
                <c:pt idx="5">
                  <c:v>105050886.7013576</c:v>
                </c:pt>
              </c:numCache>
            </c:numRef>
          </c:val>
          <c:extLst>
            <c:ext xmlns:c16="http://schemas.microsoft.com/office/drawing/2014/chart" uri="{C3380CC4-5D6E-409C-BE32-E72D297353CC}">
              <c16:uniqueId val="{00000008-646B-4C22-B437-DCFBCF7E3EC1}"/>
            </c:ext>
          </c:extLst>
        </c:ser>
        <c:dLbls>
          <c:showLegendKey val="0"/>
          <c:showVal val="0"/>
          <c:showCatName val="0"/>
          <c:showSerName val="0"/>
          <c:showPercent val="0"/>
          <c:showBubbleSize val="0"/>
        </c:dLbls>
        <c:gapWidth val="164"/>
        <c:overlap val="-22"/>
        <c:axId val="182579120"/>
        <c:axId val="1"/>
      </c:barChart>
      <c:catAx>
        <c:axId val="182579120"/>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
        <c:crosses val="autoZero"/>
        <c:auto val="1"/>
        <c:lblAlgn val="ctr"/>
        <c:lblOffset val="100"/>
        <c:noMultiLvlLbl val="0"/>
      </c:catAx>
      <c:valAx>
        <c:axId val="1"/>
        <c:scaling>
          <c:orientation val="minMax"/>
        </c:scaling>
        <c:delete val="0"/>
        <c:axPos val="l"/>
        <c:numFmt formatCode="&quot;€&quot;\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8257912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it-IT"/>
              <a:t>PN/DBML</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it-IT"/>
        </a:p>
      </c:txPr>
    </c:title>
    <c:autoTitleDeleted val="0"/>
    <c:plotArea>
      <c:layout/>
      <c:barChart>
        <c:barDir val="col"/>
        <c:grouping val="stacked"/>
        <c:varyColors val="0"/>
        <c:ser>
          <c:idx val="0"/>
          <c:order val="0"/>
          <c:tx>
            <c:strRef>
              <c:f>Graphs!$B$295</c:f>
              <c:strCache>
                <c:ptCount val="1"/>
                <c:pt idx="0">
                  <c:v>Long-term debt to banks</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dLbl>
              <c:idx val="0"/>
              <c:layout>
                <c:manualLayout>
                  <c:x val="0"/>
                  <c:y val="8.796296296296313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C42-4514-8216-E2413991D128}"/>
                </c:ext>
              </c:extLst>
            </c:dLbl>
            <c:dLbl>
              <c:idx val="2"/>
              <c:layout>
                <c:manualLayout>
                  <c:x val="-2.2222222222222272E-2"/>
                  <c:y val="-9.259259259259258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C42-4514-8216-E2413991D128}"/>
                </c:ext>
              </c:extLst>
            </c:dLbl>
            <c:dLbl>
              <c:idx val="3"/>
              <c:layout>
                <c:manualLayout>
                  <c:x val="-2.2222222222222223E-2"/>
                  <c:y val="-5.555555555555560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C42-4514-8216-E2413991D128}"/>
                </c:ext>
              </c:extLst>
            </c:dLbl>
            <c:dLbl>
              <c:idx val="4"/>
              <c:layout>
                <c:manualLayout>
                  <c:x val="-5.5555555555555657E-2"/>
                  <c:y val="-3.240740740740740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C42-4514-8216-E2413991D128}"/>
                </c:ext>
              </c:extLst>
            </c:dLbl>
            <c:dLbl>
              <c:idx val="5"/>
              <c:layout>
                <c:manualLayout>
                  <c:x val="-2.5000000000000001E-2"/>
                  <c:y val="-5.55555555555555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C42-4514-8216-E2413991D12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Graphs!$C$294:$H$294</c:f>
              <c:numCache>
                <c:formatCode>General</c:formatCode>
                <c:ptCount val="6"/>
                <c:pt idx="0">
                  <c:v>2021</c:v>
                </c:pt>
                <c:pt idx="1">
                  <c:v>2022</c:v>
                </c:pt>
                <c:pt idx="2">
                  <c:v>2023</c:v>
                </c:pt>
                <c:pt idx="3">
                  <c:v>2024</c:v>
                </c:pt>
                <c:pt idx="4">
                  <c:v>2025</c:v>
                </c:pt>
                <c:pt idx="5">
                  <c:v>2026</c:v>
                </c:pt>
              </c:numCache>
            </c:numRef>
          </c:cat>
          <c:val>
            <c:numRef>
              <c:f>Graphs!$C$295:$H$295</c:f>
              <c:numCache>
                <c:formatCode>"€"\ #,##0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5-1C42-4514-8216-E2413991D128}"/>
            </c:ext>
          </c:extLst>
        </c:ser>
        <c:ser>
          <c:idx val="1"/>
          <c:order val="1"/>
          <c:tx>
            <c:strRef>
              <c:f>Graphs!$B$296</c:f>
              <c:strCache>
                <c:ptCount val="1"/>
                <c:pt idx="0">
                  <c:v>Net assets</c:v>
                </c:pt>
              </c:strCache>
            </c:strRef>
          </c:tx>
          <c:spPr>
            <a:pattFill prst="narHorz">
              <a:fgClr>
                <a:schemeClr val="accent2"/>
              </a:fgClr>
              <a:bgClr>
                <a:schemeClr val="accent2">
                  <a:lumMod val="20000"/>
                  <a:lumOff val="80000"/>
                </a:schemeClr>
              </a:bgClr>
            </a:pattFill>
            <a:ln>
              <a:noFill/>
            </a:ln>
            <a:effectLst>
              <a:innerShdw blurRad="114300">
                <a:schemeClr val="accent2"/>
              </a:innerShdw>
            </a:effectLst>
          </c:spPr>
          <c:invertIfNegative val="0"/>
          <c:dLbls>
            <c:dLbl>
              <c:idx val="0"/>
              <c:layout>
                <c:manualLayout>
                  <c:x val="5.5555555555555558E-3"/>
                  <c:y val="-4.629629629629629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C42-4514-8216-E2413991D128}"/>
                </c:ext>
              </c:extLst>
            </c:dLbl>
            <c:dLbl>
              <c:idx val="1"/>
              <c:layout>
                <c:manualLayout>
                  <c:x val="0"/>
                  <c:y val="-7.407407407407415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C42-4514-8216-E2413991D12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Graphs!$C$294:$H$294</c:f>
              <c:numCache>
                <c:formatCode>General</c:formatCode>
                <c:ptCount val="6"/>
                <c:pt idx="0">
                  <c:v>2021</c:v>
                </c:pt>
                <c:pt idx="1">
                  <c:v>2022</c:v>
                </c:pt>
                <c:pt idx="2">
                  <c:v>2023</c:v>
                </c:pt>
                <c:pt idx="3">
                  <c:v>2024</c:v>
                </c:pt>
                <c:pt idx="4">
                  <c:v>2025</c:v>
                </c:pt>
                <c:pt idx="5">
                  <c:v>2026</c:v>
                </c:pt>
              </c:numCache>
            </c:numRef>
          </c:cat>
          <c:val>
            <c:numRef>
              <c:f>Graphs!$C$296:$H$296</c:f>
              <c:numCache>
                <c:formatCode>"€"\ #,##0</c:formatCode>
                <c:ptCount val="6"/>
                <c:pt idx="0">
                  <c:v>751936.36073059367</c:v>
                </c:pt>
                <c:pt idx="1">
                  <c:v>7029894.0539745828</c:v>
                </c:pt>
                <c:pt idx="2">
                  <c:v>57423082.248598799</c:v>
                </c:pt>
                <c:pt idx="3">
                  <c:v>156224917.23499188</c:v>
                </c:pt>
                <c:pt idx="4">
                  <c:v>289968671.84620339</c:v>
                </c:pt>
                <c:pt idx="5">
                  <c:v>479519463.77352351</c:v>
                </c:pt>
              </c:numCache>
            </c:numRef>
          </c:val>
          <c:extLst>
            <c:ext xmlns:c16="http://schemas.microsoft.com/office/drawing/2014/chart" uri="{C3380CC4-5D6E-409C-BE32-E72D297353CC}">
              <c16:uniqueId val="{00000008-1C42-4514-8216-E2413991D128}"/>
            </c:ext>
          </c:extLst>
        </c:ser>
        <c:dLbls>
          <c:showLegendKey val="0"/>
          <c:showVal val="0"/>
          <c:showCatName val="0"/>
          <c:showSerName val="0"/>
          <c:showPercent val="0"/>
          <c:showBubbleSize val="0"/>
        </c:dLbls>
        <c:gapWidth val="150"/>
        <c:overlap val="100"/>
        <c:axId val="182587440"/>
        <c:axId val="1"/>
      </c:barChart>
      <c:catAx>
        <c:axId val="182587440"/>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
        <c:crosses val="autoZero"/>
        <c:auto val="1"/>
        <c:lblAlgn val="ctr"/>
        <c:lblOffset val="100"/>
        <c:noMultiLvlLbl val="0"/>
      </c:catAx>
      <c:valAx>
        <c:axId val="1"/>
        <c:scaling>
          <c:orientation val="minMax"/>
        </c:scaling>
        <c:delete val="0"/>
        <c:axPos val="l"/>
        <c:majorGridlines>
          <c:spPr>
            <a:ln>
              <a:solidFill>
                <a:schemeClr val="tx1">
                  <a:lumMod val="15000"/>
                  <a:lumOff val="85000"/>
                </a:schemeClr>
              </a:solidFill>
            </a:ln>
            <a:effectLst/>
          </c:spPr>
        </c:majorGridlines>
        <c:numFmt formatCode="&quot;€&quot;\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8258744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it-IT"/>
              <a:t>CE structure</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it-IT"/>
        </a:p>
      </c:txPr>
    </c:title>
    <c:autoTitleDeleted val="0"/>
    <c:plotArea>
      <c:layout/>
      <c:lineChart>
        <c:grouping val="standard"/>
        <c:varyColors val="0"/>
        <c:ser>
          <c:idx val="0"/>
          <c:order val="0"/>
          <c:tx>
            <c:strRef>
              <c:f>Graphs!$B$25</c:f>
              <c:strCache>
                <c:ptCount val="1"/>
                <c:pt idx="0">
                  <c:v>Production value</c:v>
                </c:pt>
              </c:strCache>
            </c:strRef>
          </c:tx>
          <c:spPr>
            <a:ln w="22225" cap="rnd">
              <a:solidFill>
                <a:schemeClr val="accent1"/>
              </a:solidFill>
              <a:round/>
            </a:ln>
            <a:effectLst/>
          </c:spPr>
          <c:marker>
            <c:symbol val="diamond"/>
            <c:size val="6"/>
            <c:spPr>
              <a:solidFill>
                <a:schemeClr val="accent1"/>
              </a:solidFill>
              <a:ln w="9525">
                <a:solidFill>
                  <a:schemeClr val="accent1"/>
                </a:solidFill>
                <a:round/>
              </a:ln>
              <a:effectLst/>
            </c:spPr>
          </c:marker>
          <c:cat>
            <c:numRef>
              <c:f>Graphs!$C$24:$H$24</c:f>
              <c:numCache>
                <c:formatCode>General</c:formatCode>
                <c:ptCount val="6"/>
                <c:pt idx="0">
                  <c:v>2021</c:v>
                </c:pt>
                <c:pt idx="1">
                  <c:v>2022</c:v>
                </c:pt>
                <c:pt idx="2">
                  <c:v>2023</c:v>
                </c:pt>
                <c:pt idx="3">
                  <c:v>2024</c:v>
                </c:pt>
                <c:pt idx="4">
                  <c:v>2025</c:v>
                </c:pt>
                <c:pt idx="5">
                  <c:v>2026</c:v>
                </c:pt>
              </c:numCache>
            </c:numRef>
          </c:cat>
          <c:val>
            <c:numRef>
              <c:f>Graphs!$C$25:$H$25</c:f>
              <c:numCache>
                <c:formatCode>"€"\ #,##0</c:formatCode>
                <c:ptCount val="6"/>
                <c:pt idx="0">
                  <c:v>618333.33333333349</c:v>
                </c:pt>
                <c:pt idx="1">
                  <c:v>15868382.260191355</c:v>
                </c:pt>
                <c:pt idx="2">
                  <c:v>82763830.721210986</c:v>
                </c:pt>
                <c:pt idx="3">
                  <c:v>189014250.59499994</c:v>
                </c:pt>
                <c:pt idx="4">
                  <c:v>285641648.76089346</c:v>
                </c:pt>
                <c:pt idx="5">
                  <c:v>394048244.62473941</c:v>
                </c:pt>
              </c:numCache>
            </c:numRef>
          </c:val>
          <c:smooth val="0"/>
          <c:extLst>
            <c:ext xmlns:c16="http://schemas.microsoft.com/office/drawing/2014/chart" uri="{C3380CC4-5D6E-409C-BE32-E72D297353CC}">
              <c16:uniqueId val="{00000000-3216-4B7D-AF22-B6AAD8A9CA5F}"/>
            </c:ext>
          </c:extLst>
        </c:ser>
        <c:ser>
          <c:idx val="1"/>
          <c:order val="1"/>
          <c:tx>
            <c:strRef>
              <c:f>Graphs!$B$26</c:f>
              <c:strCache>
                <c:ptCount val="1"/>
                <c:pt idx="0">
                  <c:v>Operating costs</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cat>
            <c:numRef>
              <c:f>Graphs!$C$24:$H$24</c:f>
              <c:numCache>
                <c:formatCode>General</c:formatCode>
                <c:ptCount val="6"/>
                <c:pt idx="0">
                  <c:v>2021</c:v>
                </c:pt>
                <c:pt idx="1">
                  <c:v>2022</c:v>
                </c:pt>
                <c:pt idx="2">
                  <c:v>2023</c:v>
                </c:pt>
                <c:pt idx="3">
                  <c:v>2024</c:v>
                </c:pt>
                <c:pt idx="4">
                  <c:v>2025</c:v>
                </c:pt>
                <c:pt idx="5">
                  <c:v>2026</c:v>
                </c:pt>
              </c:numCache>
            </c:numRef>
          </c:cat>
          <c:val>
            <c:numRef>
              <c:f>Graphs!$C$26:$H$26</c:f>
              <c:numCache>
                <c:formatCode>"€"\ #,##0</c:formatCode>
                <c:ptCount val="6"/>
                <c:pt idx="0">
                  <c:v>1171501.5359256761</c:v>
                </c:pt>
                <c:pt idx="1">
                  <c:v>9421829.1466992721</c:v>
                </c:pt>
                <c:pt idx="2">
                  <c:v>25722411.737622757</c:v>
                </c:pt>
                <c:pt idx="3">
                  <c:v>58828104.151151732</c:v>
                </c:pt>
                <c:pt idx="4">
                  <c:v>86276648.981911585</c:v>
                </c:pt>
                <c:pt idx="5">
                  <c:v>126170405.56316611</c:v>
                </c:pt>
              </c:numCache>
            </c:numRef>
          </c:val>
          <c:smooth val="0"/>
          <c:extLst>
            <c:ext xmlns:c16="http://schemas.microsoft.com/office/drawing/2014/chart" uri="{C3380CC4-5D6E-409C-BE32-E72D297353CC}">
              <c16:uniqueId val="{00000001-3216-4B7D-AF22-B6AAD8A9CA5F}"/>
            </c:ext>
          </c:extLst>
        </c:ser>
        <c:ser>
          <c:idx val="2"/>
          <c:order val="2"/>
          <c:tx>
            <c:strRef>
              <c:f>Graphs!$B$27</c:f>
              <c:strCache>
                <c:ptCount val="1"/>
                <c:pt idx="0">
                  <c:v>EBITDA</c:v>
                </c:pt>
              </c:strCache>
            </c:strRef>
          </c:tx>
          <c:spPr>
            <a:ln w="22225" cap="rnd">
              <a:solidFill>
                <a:schemeClr val="accent3"/>
              </a:solidFill>
              <a:round/>
            </a:ln>
            <a:effectLst/>
          </c:spPr>
          <c:marker>
            <c:symbol val="triangle"/>
            <c:size val="6"/>
            <c:spPr>
              <a:solidFill>
                <a:schemeClr val="accent3"/>
              </a:solidFill>
              <a:ln w="9525">
                <a:solidFill>
                  <a:schemeClr val="accent3"/>
                </a:solidFill>
                <a:round/>
              </a:ln>
              <a:effectLst/>
            </c:spPr>
          </c:marker>
          <c:cat>
            <c:numRef>
              <c:f>Graphs!$C$24:$H$24</c:f>
              <c:numCache>
                <c:formatCode>General</c:formatCode>
                <c:ptCount val="6"/>
                <c:pt idx="0">
                  <c:v>2021</c:v>
                </c:pt>
                <c:pt idx="1">
                  <c:v>2022</c:v>
                </c:pt>
                <c:pt idx="2">
                  <c:v>2023</c:v>
                </c:pt>
                <c:pt idx="3">
                  <c:v>2024</c:v>
                </c:pt>
                <c:pt idx="4">
                  <c:v>2025</c:v>
                </c:pt>
                <c:pt idx="5">
                  <c:v>2026</c:v>
                </c:pt>
              </c:numCache>
            </c:numRef>
          </c:cat>
          <c:val>
            <c:numRef>
              <c:f>Graphs!$C$27:$H$27</c:f>
              <c:numCache>
                <c:formatCode>"€"\ #,##0</c:formatCode>
                <c:ptCount val="6"/>
                <c:pt idx="0">
                  <c:v>-553168.20259234274</c:v>
                </c:pt>
                <c:pt idx="1">
                  <c:v>6446553.1134920837</c:v>
                </c:pt>
                <c:pt idx="2">
                  <c:v>57041418.983588234</c:v>
                </c:pt>
                <c:pt idx="3">
                  <c:v>130186146.44384822</c:v>
                </c:pt>
                <c:pt idx="4">
                  <c:v>199364999.77898189</c:v>
                </c:pt>
                <c:pt idx="5">
                  <c:v>267877839.06157327</c:v>
                </c:pt>
              </c:numCache>
            </c:numRef>
          </c:val>
          <c:smooth val="0"/>
          <c:extLst>
            <c:ext xmlns:c16="http://schemas.microsoft.com/office/drawing/2014/chart" uri="{C3380CC4-5D6E-409C-BE32-E72D297353CC}">
              <c16:uniqueId val="{00000002-3216-4B7D-AF22-B6AAD8A9CA5F}"/>
            </c:ext>
          </c:extLst>
        </c:ser>
        <c:ser>
          <c:idx val="3"/>
          <c:order val="3"/>
          <c:tx>
            <c:strRef>
              <c:f>Graphs!$B$28</c:f>
              <c:strCache>
                <c:ptCount val="1"/>
                <c:pt idx="0">
                  <c:v>EBIT</c:v>
                </c:pt>
              </c:strCache>
            </c:strRef>
          </c:tx>
          <c:spPr>
            <a:ln w="22225" cap="rnd">
              <a:solidFill>
                <a:schemeClr val="accent4"/>
              </a:solidFill>
              <a:round/>
            </a:ln>
            <a:effectLst/>
          </c:spPr>
          <c:marker>
            <c:symbol val="x"/>
            <c:size val="6"/>
            <c:spPr>
              <a:noFill/>
              <a:ln w="9525">
                <a:solidFill>
                  <a:schemeClr val="accent4"/>
                </a:solidFill>
                <a:round/>
              </a:ln>
              <a:effectLst/>
            </c:spPr>
          </c:marker>
          <c:cat>
            <c:numRef>
              <c:f>Graphs!$C$24:$H$24</c:f>
              <c:numCache>
                <c:formatCode>General</c:formatCode>
                <c:ptCount val="6"/>
                <c:pt idx="0">
                  <c:v>2021</c:v>
                </c:pt>
                <c:pt idx="1">
                  <c:v>2022</c:v>
                </c:pt>
                <c:pt idx="2">
                  <c:v>2023</c:v>
                </c:pt>
                <c:pt idx="3">
                  <c:v>2024</c:v>
                </c:pt>
                <c:pt idx="4">
                  <c:v>2025</c:v>
                </c:pt>
                <c:pt idx="5">
                  <c:v>2026</c:v>
                </c:pt>
              </c:numCache>
            </c:numRef>
          </c:cat>
          <c:val>
            <c:numRef>
              <c:f>Graphs!$C$28:$H$28</c:f>
              <c:numCache>
                <c:formatCode>"€"\ #,##0</c:formatCode>
                <c:ptCount val="6"/>
                <c:pt idx="0">
                  <c:v>-613063.63926940633</c:v>
                </c:pt>
                <c:pt idx="1">
                  <c:v>6106333.7469700165</c:v>
                </c:pt>
                <c:pt idx="2">
                  <c:v>52182134.564156331</c:v>
                </c:pt>
                <c:pt idx="3">
                  <c:v>123765954.96349953</c:v>
                </c:pt>
                <c:pt idx="4">
                  <c:v>191542275.23814866</c:v>
                </c:pt>
                <c:pt idx="5">
                  <c:v>258393989.00987837</c:v>
                </c:pt>
              </c:numCache>
            </c:numRef>
          </c:val>
          <c:smooth val="0"/>
          <c:extLst>
            <c:ext xmlns:c16="http://schemas.microsoft.com/office/drawing/2014/chart" uri="{C3380CC4-5D6E-409C-BE32-E72D297353CC}">
              <c16:uniqueId val="{00000003-3216-4B7D-AF22-B6AAD8A9CA5F}"/>
            </c:ext>
          </c:extLst>
        </c:ser>
        <c:ser>
          <c:idx val="4"/>
          <c:order val="4"/>
          <c:tx>
            <c:strRef>
              <c:f>Graphs!$B$30</c:f>
              <c:strCache>
                <c:ptCount val="1"/>
                <c:pt idx="0">
                  <c:v>Net income</c:v>
                </c:pt>
              </c:strCache>
            </c:strRef>
          </c:tx>
          <c:spPr>
            <a:ln w="22225" cap="rnd">
              <a:solidFill>
                <a:schemeClr val="accent5"/>
              </a:solidFill>
              <a:round/>
            </a:ln>
            <a:effectLst/>
          </c:spPr>
          <c:marker>
            <c:symbol val="star"/>
            <c:size val="6"/>
            <c:spPr>
              <a:noFill/>
              <a:ln w="9525">
                <a:solidFill>
                  <a:schemeClr val="accent5"/>
                </a:solidFill>
                <a:round/>
              </a:ln>
              <a:effectLst/>
            </c:spPr>
          </c:marker>
          <c:cat>
            <c:numRef>
              <c:f>Graphs!$C$24:$H$24</c:f>
              <c:numCache>
                <c:formatCode>General</c:formatCode>
                <c:ptCount val="6"/>
                <c:pt idx="0">
                  <c:v>2021</c:v>
                </c:pt>
                <c:pt idx="1">
                  <c:v>2022</c:v>
                </c:pt>
                <c:pt idx="2">
                  <c:v>2023</c:v>
                </c:pt>
                <c:pt idx="3">
                  <c:v>2024</c:v>
                </c:pt>
                <c:pt idx="4">
                  <c:v>2025</c:v>
                </c:pt>
                <c:pt idx="5">
                  <c:v>2026</c:v>
                </c:pt>
              </c:numCache>
            </c:numRef>
          </c:cat>
          <c:val>
            <c:numRef>
              <c:f>Graphs!$C$30:$H$30</c:f>
              <c:numCache>
                <c:formatCode>"€"\ #,##0</c:formatCode>
                <c:ptCount val="6"/>
                <c:pt idx="0">
                  <c:v>-613063.63926940633</c:v>
                </c:pt>
                <c:pt idx="1">
                  <c:v>6277957.6932439888</c:v>
                </c:pt>
                <c:pt idx="2">
                  <c:v>50393188.194616541</c:v>
                </c:pt>
                <c:pt idx="3">
                  <c:v>108880472.6253062</c:v>
                </c:pt>
                <c:pt idx="4">
                  <c:v>156329258.75988516</c:v>
                </c:pt>
                <c:pt idx="5">
                  <c:v>203785427.76770186</c:v>
                </c:pt>
              </c:numCache>
            </c:numRef>
          </c:val>
          <c:smooth val="0"/>
          <c:extLst>
            <c:ext xmlns:c16="http://schemas.microsoft.com/office/drawing/2014/chart" uri="{C3380CC4-5D6E-409C-BE32-E72D297353CC}">
              <c16:uniqueId val="{00000004-3216-4B7D-AF22-B6AAD8A9CA5F}"/>
            </c:ext>
          </c:extLst>
        </c:ser>
        <c:ser>
          <c:idx val="5"/>
          <c:order val="5"/>
          <c:tx>
            <c:v>#RIF!</c:v>
          </c:tx>
          <c:spPr>
            <a:ln w="22225" cap="rnd">
              <a:solidFill>
                <a:schemeClr val="accent6"/>
              </a:solidFill>
              <a:round/>
            </a:ln>
            <a:effectLst/>
          </c:spPr>
          <c:marker>
            <c:symbol val="circle"/>
            <c:size val="6"/>
            <c:spPr>
              <a:solidFill>
                <a:schemeClr val="accent6"/>
              </a:solidFill>
              <a:ln w="9525">
                <a:solidFill>
                  <a:schemeClr val="accent6"/>
                </a:solidFill>
                <a:round/>
              </a:ln>
              <a:effectLst/>
            </c:spPr>
          </c:marker>
          <c:cat>
            <c:numRef>
              <c:f>Graphs!$C$24:$H$24</c:f>
              <c:numCache>
                <c:formatCode>General</c:formatCode>
                <c:ptCount val="6"/>
                <c:pt idx="0">
                  <c:v>2021</c:v>
                </c:pt>
                <c:pt idx="1">
                  <c:v>2022</c:v>
                </c:pt>
                <c:pt idx="2">
                  <c:v>2023</c:v>
                </c:pt>
                <c:pt idx="3">
                  <c:v>2024</c:v>
                </c:pt>
                <c:pt idx="4">
                  <c:v>2025</c:v>
                </c:pt>
                <c:pt idx="5">
                  <c:v>2026</c:v>
                </c:pt>
              </c:numCache>
            </c:numRef>
          </c:cat>
          <c:val>
            <c:numLit>
              <c:formatCode>General</c:formatCode>
              <c:ptCount val="6"/>
              <c:pt idx="0">
                <c:v>0</c:v>
              </c:pt>
              <c:pt idx="1">
                <c:v>0</c:v>
              </c:pt>
              <c:pt idx="2">
                <c:v>0</c:v>
              </c:pt>
              <c:pt idx="3">
                <c:v>0</c:v>
              </c:pt>
              <c:pt idx="4">
                <c:v>0</c:v>
              </c:pt>
              <c:pt idx="5">
                <c:v>0</c:v>
              </c:pt>
            </c:numLit>
          </c:val>
          <c:smooth val="0"/>
          <c:extLst>
            <c:ext xmlns:c16="http://schemas.microsoft.com/office/drawing/2014/chart" uri="{C3380CC4-5D6E-409C-BE32-E72D297353CC}">
              <c16:uniqueId val="{00000005-3216-4B7D-AF22-B6AAD8A9CA5F}"/>
            </c:ext>
          </c:extLst>
        </c:ser>
        <c:dLbls>
          <c:showLegendKey val="0"/>
          <c:showVal val="0"/>
          <c:showCatName val="0"/>
          <c:showSerName val="0"/>
          <c:showPercent val="0"/>
          <c:showBubbleSize val="0"/>
        </c:dLbls>
        <c:marker val="1"/>
        <c:smooth val="0"/>
        <c:axId val="182578704"/>
        <c:axId val="1"/>
      </c:lineChart>
      <c:catAx>
        <c:axId val="1825787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it-IT"/>
          </a:p>
        </c:txPr>
        <c:crossAx val="1"/>
        <c:crosses val="autoZero"/>
        <c:auto val="1"/>
        <c:lblAlgn val="ctr"/>
        <c:lblOffset val="100"/>
        <c:noMultiLvlLbl val="0"/>
      </c:catAx>
      <c:valAx>
        <c:axId val="1"/>
        <c:scaling>
          <c:orientation val="minMax"/>
        </c:scaling>
        <c:delete val="0"/>
        <c:axPos val="l"/>
        <c:numFmt formatCode="&quot;€&quot;\ #,##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8257870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it-IT"/>
              <a:t>Use of investments</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it-IT"/>
        </a:p>
      </c:txPr>
    </c:title>
    <c:autoTitleDeleted val="0"/>
    <c:plotArea>
      <c:layout/>
      <c:pieChart>
        <c:varyColors val="1"/>
        <c:ser>
          <c:idx val="0"/>
          <c:order val="0"/>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0-EC8E-4A47-81B3-D6B4C96547B1}"/>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1-EC8E-4A47-81B3-D6B4C96547B1}"/>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2-EC8E-4A47-81B3-D6B4C96547B1}"/>
              </c:ext>
            </c:extLst>
          </c:dPt>
          <c:dPt>
            <c:idx val="3"/>
            <c:bubble3D val="0"/>
            <c:spPr>
              <a:pattFill prst="ltUpDiag">
                <a:fgClr>
                  <a:schemeClr val="accent4"/>
                </a:fgClr>
                <a:bgClr>
                  <a:schemeClr val="accent4">
                    <a:lumMod val="20000"/>
                    <a:lumOff val="80000"/>
                  </a:schemeClr>
                </a:bgClr>
              </a:pattFill>
              <a:ln w="19050">
                <a:solidFill>
                  <a:schemeClr val="lt1"/>
                </a:solidFill>
              </a:ln>
              <a:effectLst>
                <a:innerShdw blurRad="114300">
                  <a:schemeClr val="accent4"/>
                </a:innerShdw>
              </a:effectLst>
            </c:spPr>
            <c:extLst>
              <c:ext xmlns:c16="http://schemas.microsoft.com/office/drawing/2014/chart" uri="{C3380CC4-5D6E-409C-BE32-E72D297353CC}">
                <c16:uniqueId val="{00000003-EC8E-4A47-81B3-D6B4C96547B1}"/>
              </c:ext>
            </c:extLst>
          </c:dPt>
          <c:dPt>
            <c:idx val="4"/>
            <c:bubble3D val="0"/>
            <c:spPr>
              <a:pattFill prst="ltUpDiag">
                <a:fgClr>
                  <a:schemeClr val="accent5"/>
                </a:fgClr>
                <a:bgClr>
                  <a:schemeClr val="accent5">
                    <a:lumMod val="20000"/>
                    <a:lumOff val="80000"/>
                  </a:schemeClr>
                </a:bgClr>
              </a:pattFill>
              <a:ln w="19050">
                <a:solidFill>
                  <a:schemeClr val="lt1"/>
                </a:solidFill>
              </a:ln>
              <a:effectLst>
                <a:innerShdw blurRad="114300">
                  <a:schemeClr val="accent5"/>
                </a:innerShdw>
              </a:effectLst>
            </c:spPr>
            <c:extLst>
              <c:ext xmlns:c16="http://schemas.microsoft.com/office/drawing/2014/chart" uri="{C3380CC4-5D6E-409C-BE32-E72D297353CC}">
                <c16:uniqueId val="{00000004-EC8E-4A47-81B3-D6B4C96547B1}"/>
              </c:ext>
            </c:extLst>
          </c:dPt>
          <c:dPt>
            <c:idx val="5"/>
            <c:bubble3D val="0"/>
            <c:spPr>
              <a:pattFill prst="ltUpDiag">
                <a:fgClr>
                  <a:schemeClr val="accent6"/>
                </a:fgClr>
                <a:bgClr>
                  <a:schemeClr val="accent6">
                    <a:lumMod val="20000"/>
                    <a:lumOff val="80000"/>
                  </a:schemeClr>
                </a:bgClr>
              </a:pattFill>
              <a:ln w="19050">
                <a:solidFill>
                  <a:schemeClr val="lt1"/>
                </a:solidFill>
              </a:ln>
              <a:effectLst>
                <a:innerShdw blurRad="114300">
                  <a:schemeClr val="accent6"/>
                </a:innerShdw>
              </a:effectLst>
            </c:spPr>
            <c:extLst>
              <c:ext xmlns:c16="http://schemas.microsoft.com/office/drawing/2014/chart" uri="{C3380CC4-5D6E-409C-BE32-E72D297353CC}">
                <c16:uniqueId val="{00000005-EC8E-4A47-81B3-D6B4C96547B1}"/>
              </c:ext>
            </c:extLst>
          </c:dPt>
          <c:dPt>
            <c:idx val="6"/>
            <c:bubble3D val="0"/>
            <c:spPr>
              <a:pattFill prst="ltUpDiag">
                <a:fgClr>
                  <a:schemeClr val="accent1">
                    <a:lumMod val="60000"/>
                  </a:schemeClr>
                </a:fgClr>
                <a:bgClr>
                  <a:schemeClr val="accent1">
                    <a:lumMod val="60000"/>
                    <a:lumMod val="20000"/>
                    <a:lumOff val="80000"/>
                  </a:schemeClr>
                </a:bgClr>
              </a:pattFill>
              <a:ln w="19050">
                <a:solidFill>
                  <a:schemeClr val="lt1"/>
                </a:solidFill>
              </a:ln>
              <a:effectLst>
                <a:innerShdw blurRad="114300">
                  <a:schemeClr val="accent1">
                    <a:lumMod val="60000"/>
                  </a:schemeClr>
                </a:innerShdw>
              </a:effectLst>
            </c:spPr>
            <c:extLst>
              <c:ext xmlns:c16="http://schemas.microsoft.com/office/drawing/2014/chart" uri="{C3380CC4-5D6E-409C-BE32-E72D297353CC}">
                <c16:uniqueId val="{00000006-EC8E-4A47-81B3-D6B4C96547B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dLblPos val="outEnd"/>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'3.Annual Costs'!$E$35:$E$41</c:f>
              <c:strCache>
                <c:ptCount val="7"/>
                <c:pt idx="0">
                  <c:v>Marketing Appropriation</c:v>
                </c:pt>
                <c:pt idx="1">
                  <c:v>Server</c:v>
                </c:pt>
                <c:pt idx="2">
                  <c:v>App implementations</c:v>
                </c:pt>
                <c:pt idx="3">
                  <c:v>Administrative staff</c:v>
                </c:pt>
                <c:pt idx="4">
                  <c:v>Marketing, Social Media and Press Office staff</c:v>
                </c:pt>
                <c:pt idx="5">
                  <c:v>IT &amp; Software Engineering Staff</c:v>
                </c:pt>
                <c:pt idx="6">
                  <c:v>Legal &amp; Privacy Staff</c:v>
                </c:pt>
              </c:strCache>
            </c:strRef>
          </c:cat>
          <c:val>
            <c:numRef>
              <c:f>'3.Annual Costs'!$F$35:$F$41</c:f>
              <c:numCache>
                <c:formatCode>0.0%</c:formatCode>
                <c:ptCount val="7"/>
                <c:pt idx="0">
                  <c:v>0.64516129032258063</c:v>
                </c:pt>
                <c:pt idx="1">
                  <c:v>7.1684587813620068E-2</c:v>
                </c:pt>
                <c:pt idx="2">
                  <c:v>8.6021505376344093E-2</c:v>
                </c:pt>
                <c:pt idx="3">
                  <c:v>2.1505376344086023E-2</c:v>
                </c:pt>
                <c:pt idx="4">
                  <c:v>6.8100358422939072E-2</c:v>
                </c:pt>
                <c:pt idx="5">
                  <c:v>9.3189964157706098E-2</c:v>
                </c:pt>
                <c:pt idx="6">
                  <c:v>1.4336917562724014E-2</c:v>
                </c:pt>
              </c:numCache>
            </c:numRef>
          </c:val>
          <c:extLst>
            <c:ext xmlns:c16="http://schemas.microsoft.com/office/drawing/2014/chart" uri="{C3380CC4-5D6E-409C-BE32-E72D297353CC}">
              <c16:uniqueId val="{00000007-EC8E-4A47-81B3-D6B4C96547B1}"/>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it-IT"/>
              <a:t>Production value</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it-IT"/>
        </a:p>
      </c:txPr>
    </c:title>
    <c:autoTitleDeleted val="0"/>
    <c:plotArea>
      <c:layout/>
      <c:barChart>
        <c:barDir val="col"/>
        <c:grouping val="clustered"/>
        <c:varyColors val="0"/>
        <c:ser>
          <c:idx val="0"/>
          <c:order val="0"/>
          <c:tx>
            <c:strRef>
              <c:f>Graphs!$B$43</c:f>
              <c:strCache>
                <c:ptCount val="1"/>
                <c:pt idx="0">
                  <c:v>Production value</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trendline>
            <c:spPr>
              <a:ln w="19050" cap="rnd">
                <a:solidFill>
                  <a:schemeClr val="accent1"/>
                </a:solidFill>
              </a:ln>
              <a:effectLst/>
            </c:spPr>
            <c:trendlineType val="linear"/>
            <c:dispRSqr val="0"/>
            <c:dispEq val="0"/>
          </c:trendline>
          <c:cat>
            <c:numRef>
              <c:f>Graphs!$C$42:$H$42</c:f>
              <c:numCache>
                <c:formatCode>General</c:formatCode>
                <c:ptCount val="6"/>
                <c:pt idx="0">
                  <c:v>2021</c:v>
                </c:pt>
                <c:pt idx="1">
                  <c:v>2022</c:v>
                </c:pt>
                <c:pt idx="2">
                  <c:v>2023</c:v>
                </c:pt>
                <c:pt idx="3">
                  <c:v>2024</c:v>
                </c:pt>
                <c:pt idx="4">
                  <c:v>2025</c:v>
                </c:pt>
                <c:pt idx="5">
                  <c:v>2026</c:v>
                </c:pt>
              </c:numCache>
            </c:numRef>
          </c:cat>
          <c:val>
            <c:numRef>
              <c:f>Graphs!$C$43:$H$43</c:f>
              <c:numCache>
                <c:formatCode>"€"\ #,##0</c:formatCode>
                <c:ptCount val="6"/>
                <c:pt idx="0">
                  <c:v>618333.33333333349</c:v>
                </c:pt>
                <c:pt idx="1">
                  <c:v>15868382.260191355</c:v>
                </c:pt>
                <c:pt idx="2">
                  <c:v>82763830.721210986</c:v>
                </c:pt>
                <c:pt idx="3">
                  <c:v>189014250.59499994</c:v>
                </c:pt>
                <c:pt idx="4">
                  <c:v>285641648.76089346</c:v>
                </c:pt>
                <c:pt idx="5">
                  <c:v>394048244.62473941</c:v>
                </c:pt>
              </c:numCache>
            </c:numRef>
          </c:val>
          <c:extLst>
            <c:ext xmlns:c16="http://schemas.microsoft.com/office/drawing/2014/chart" uri="{C3380CC4-5D6E-409C-BE32-E72D297353CC}">
              <c16:uniqueId val="{00000001-BA3D-403A-BE32-2CC3914BAB27}"/>
            </c:ext>
          </c:extLst>
        </c:ser>
        <c:dLbls>
          <c:dLblPos val="outEnd"/>
          <c:showLegendKey val="0"/>
          <c:showVal val="1"/>
          <c:showCatName val="0"/>
          <c:showSerName val="0"/>
          <c:showPercent val="0"/>
          <c:showBubbleSize val="0"/>
        </c:dLbls>
        <c:gapWidth val="164"/>
        <c:overlap val="-22"/>
        <c:axId val="348612784"/>
        <c:axId val="1"/>
      </c:barChart>
      <c:catAx>
        <c:axId val="348612784"/>
        <c:scaling>
          <c:orientation val="minMax"/>
        </c:scaling>
        <c:delete val="0"/>
        <c:axPos val="b"/>
        <c:numFmt formatCode="General" sourceLinked="0"/>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
        <c:crosses val="autoZero"/>
        <c:auto val="1"/>
        <c:lblAlgn val="ctr"/>
        <c:lblOffset val="100"/>
        <c:noMultiLvlLbl val="0"/>
      </c:catAx>
      <c:valAx>
        <c:axId val="1"/>
        <c:scaling>
          <c:orientation val="minMax"/>
        </c:scaling>
        <c:delete val="0"/>
        <c:axPos val="l"/>
        <c:numFmt formatCode="&quot;€&quot;\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34861278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it-IT"/>
              <a:t>Profit for the year</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it-IT"/>
        </a:p>
      </c:txPr>
    </c:title>
    <c:autoTitleDeleted val="0"/>
    <c:plotArea>
      <c:layout/>
      <c:barChart>
        <c:barDir val="col"/>
        <c:grouping val="clustered"/>
        <c:varyColors val="0"/>
        <c:ser>
          <c:idx val="0"/>
          <c:order val="0"/>
          <c:tx>
            <c:strRef>
              <c:f>Graphs!$B$58</c:f>
              <c:strCache>
                <c:ptCount val="1"/>
                <c:pt idx="0">
                  <c:v>Profit for the year</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dLbl>
              <c:idx val="0"/>
              <c:layout>
                <c:manualLayout>
                  <c:x val="9.3023255813953487E-3"/>
                  <c:y val="7.2464148503176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050-46E0-B149-7E14D4762A2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spPr>
              <a:ln w="19050" cap="rnd">
                <a:solidFill>
                  <a:schemeClr val="accent1"/>
                </a:solidFill>
              </a:ln>
              <a:effectLst/>
            </c:spPr>
            <c:trendlineType val="movingAvg"/>
            <c:period val="2"/>
            <c:dispRSqr val="0"/>
            <c:dispEq val="0"/>
          </c:trendline>
          <c:cat>
            <c:numRef>
              <c:f>Graphs!$C$57:$H$57</c:f>
              <c:numCache>
                <c:formatCode>General</c:formatCode>
                <c:ptCount val="6"/>
                <c:pt idx="0">
                  <c:v>2021</c:v>
                </c:pt>
                <c:pt idx="1">
                  <c:v>2022</c:v>
                </c:pt>
                <c:pt idx="2">
                  <c:v>2023</c:v>
                </c:pt>
                <c:pt idx="3">
                  <c:v>2024</c:v>
                </c:pt>
                <c:pt idx="4">
                  <c:v>2025</c:v>
                </c:pt>
                <c:pt idx="5">
                  <c:v>2026</c:v>
                </c:pt>
              </c:numCache>
            </c:numRef>
          </c:cat>
          <c:val>
            <c:numRef>
              <c:f>Graphs!$C$58:$H$58</c:f>
              <c:numCache>
                <c:formatCode>"€"\ #,##0</c:formatCode>
                <c:ptCount val="6"/>
                <c:pt idx="0">
                  <c:v>-613063.63926940633</c:v>
                </c:pt>
                <c:pt idx="1">
                  <c:v>6277957.6932439888</c:v>
                </c:pt>
                <c:pt idx="2">
                  <c:v>50393188.194616541</c:v>
                </c:pt>
                <c:pt idx="3">
                  <c:v>108880472.6253062</c:v>
                </c:pt>
                <c:pt idx="4">
                  <c:v>156329258.75988516</c:v>
                </c:pt>
                <c:pt idx="5">
                  <c:v>203785427.76770186</c:v>
                </c:pt>
              </c:numCache>
            </c:numRef>
          </c:val>
          <c:extLst>
            <c:ext xmlns:c16="http://schemas.microsoft.com/office/drawing/2014/chart" uri="{C3380CC4-5D6E-409C-BE32-E72D297353CC}">
              <c16:uniqueId val="{00000001-E936-4F66-9B12-883BA096476A}"/>
            </c:ext>
          </c:extLst>
        </c:ser>
        <c:dLbls>
          <c:showLegendKey val="0"/>
          <c:showVal val="0"/>
          <c:showCatName val="0"/>
          <c:showSerName val="0"/>
          <c:showPercent val="0"/>
          <c:showBubbleSize val="0"/>
        </c:dLbls>
        <c:gapWidth val="164"/>
        <c:overlap val="-22"/>
        <c:axId val="348610288"/>
        <c:axId val="1"/>
      </c:barChart>
      <c:catAx>
        <c:axId val="348610288"/>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
        <c:crosses val="autoZero"/>
        <c:auto val="1"/>
        <c:lblAlgn val="ctr"/>
        <c:lblOffset val="100"/>
        <c:noMultiLvlLbl val="0"/>
      </c:catAx>
      <c:valAx>
        <c:axId val="1"/>
        <c:scaling>
          <c:orientation val="minMax"/>
        </c:scaling>
        <c:delete val="0"/>
        <c:axPos val="l"/>
        <c:numFmt formatCode="&quot;€&quot;\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34861028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it-IT"/>
              <a:t>Receivables from customers</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it-IT"/>
        </a:p>
      </c:txPr>
    </c:title>
    <c:autoTitleDeleted val="0"/>
    <c:plotArea>
      <c:layout/>
      <c:lineChart>
        <c:grouping val="standard"/>
        <c:varyColors val="0"/>
        <c:ser>
          <c:idx val="0"/>
          <c:order val="0"/>
          <c:tx>
            <c:strRef>
              <c:f>Graphs!$B$83</c:f>
              <c:strCache>
                <c:ptCount val="1"/>
                <c:pt idx="0">
                  <c:v>Receivables from customers</c:v>
                </c:pt>
              </c:strCache>
            </c:strRef>
          </c:tx>
          <c:spPr>
            <a:ln w="22225" cap="rnd">
              <a:solidFill>
                <a:schemeClr val="accent1"/>
              </a:solidFill>
              <a:round/>
            </a:ln>
            <a:effectLst/>
          </c:spPr>
          <c:marker>
            <c:symbol val="diamond"/>
            <c:size val="6"/>
            <c:spPr>
              <a:solidFill>
                <a:schemeClr val="accent1"/>
              </a:solidFill>
              <a:ln w="9525">
                <a:solidFill>
                  <a:schemeClr val="accent1"/>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Graphs!$C$82:$H$82</c:f>
              <c:numCache>
                <c:formatCode>General</c:formatCode>
                <c:ptCount val="6"/>
                <c:pt idx="0">
                  <c:v>2021</c:v>
                </c:pt>
                <c:pt idx="1">
                  <c:v>2022</c:v>
                </c:pt>
                <c:pt idx="2">
                  <c:v>2023</c:v>
                </c:pt>
                <c:pt idx="3">
                  <c:v>2024</c:v>
                </c:pt>
                <c:pt idx="4">
                  <c:v>2025</c:v>
                </c:pt>
                <c:pt idx="5">
                  <c:v>2026</c:v>
                </c:pt>
              </c:numCache>
            </c:numRef>
          </c:cat>
          <c:val>
            <c:numRef>
              <c:f>Graphs!$C$83:$H$83</c:f>
              <c:numCache>
                <c:formatCode>"€"\ #,##0</c:formatCode>
                <c:ptCount val="6"/>
                <c:pt idx="0">
                  <c:v>62002.739726027408</c:v>
                </c:pt>
                <c:pt idx="1">
                  <c:v>1591185.7280082291</c:v>
                </c:pt>
                <c:pt idx="2">
                  <c:v>8299058.0942364987</c:v>
                </c:pt>
                <c:pt idx="3">
                  <c:v>18953209.785690404</c:v>
                </c:pt>
                <c:pt idx="4">
                  <c:v>28642422.862051234</c:v>
                </c:pt>
                <c:pt idx="5">
                  <c:v>39512782.885658801</c:v>
                </c:pt>
              </c:numCache>
            </c:numRef>
          </c:val>
          <c:smooth val="0"/>
          <c:extLst>
            <c:ext xmlns:c16="http://schemas.microsoft.com/office/drawing/2014/chart" uri="{C3380CC4-5D6E-409C-BE32-E72D297353CC}">
              <c16:uniqueId val="{00000000-C57E-4957-B1C1-BDF1F75DF47C}"/>
            </c:ext>
          </c:extLst>
        </c:ser>
        <c:dLbls>
          <c:showLegendKey val="0"/>
          <c:showVal val="0"/>
          <c:showCatName val="0"/>
          <c:showSerName val="0"/>
          <c:showPercent val="0"/>
          <c:showBubbleSize val="0"/>
        </c:dLbls>
        <c:marker val="1"/>
        <c:smooth val="0"/>
        <c:axId val="348613616"/>
        <c:axId val="1"/>
      </c:lineChart>
      <c:catAx>
        <c:axId val="3486136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it-IT"/>
          </a:p>
        </c:txPr>
        <c:crossAx val="1"/>
        <c:crosses val="autoZero"/>
        <c:auto val="1"/>
        <c:lblAlgn val="ctr"/>
        <c:lblOffset val="100"/>
        <c:noMultiLvlLbl val="0"/>
      </c:catAx>
      <c:valAx>
        <c:axId val="1"/>
        <c:scaling>
          <c:orientation val="minMax"/>
        </c:scaling>
        <c:delete val="0"/>
        <c:axPos val="l"/>
        <c:numFmt formatCode="&quot;€&quot;\ #,##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34861361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it-IT"/>
              <a:t>Cumulative corporate cash</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it-IT"/>
        </a:p>
      </c:txPr>
    </c:title>
    <c:autoTitleDeleted val="0"/>
    <c:plotArea>
      <c:layout/>
      <c:lineChart>
        <c:grouping val="standard"/>
        <c:varyColors val="0"/>
        <c:ser>
          <c:idx val="0"/>
          <c:order val="0"/>
          <c:tx>
            <c:strRef>
              <c:f>Graphs!$B$103</c:f>
              <c:strCache>
                <c:ptCount val="1"/>
                <c:pt idx="0">
                  <c:v>Cumulative corporate cash</c:v>
                </c:pt>
              </c:strCache>
            </c:strRef>
          </c:tx>
          <c:spPr>
            <a:ln w="22225" cap="rnd">
              <a:solidFill>
                <a:schemeClr val="accent1"/>
              </a:solidFill>
              <a:round/>
            </a:ln>
            <a:effectLst/>
          </c:spPr>
          <c:marker>
            <c:symbol val="diamond"/>
            <c:size val="6"/>
            <c:spPr>
              <a:solidFill>
                <a:schemeClr val="accent1"/>
              </a:solidFill>
              <a:ln w="9525">
                <a:solidFill>
                  <a:schemeClr val="accent1"/>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Graphs!$C$102:$H$102</c:f>
              <c:numCache>
                <c:formatCode>General</c:formatCode>
                <c:ptCount val="6"/>
                <c:pt idx="0">
                  <c:v>2021</c:v>
                </c:pt>
                <c:pt idx="1">
                  <c:v>2022</c:v>
                </c:pt>
                <c:pt idx="2">
                  <c:v>2023</c:v>
                </c:pt>
                <c:pt idx="3">
                  <c:v>2024</c:v>
                </c:pt>
                <c:pt idx="4">
                  <c:v>2025</c:v>
                </c:pt>
                <c:pt idx="5">
                  <c:v>2026</c:v>
                </c:pt>
              </c:numCache>
            </c:numRef>
          </c:cat>
          <c:val>
            <c:numRef>
              <c:f>Graphs!$C$103:$H$103</c:f>
              <c:numCache>
                <c:formatCode>_-* #,##0_-;\-* #,##0_-;_-* "-"??_-;_-@_-</c:formatCode>
                <c:ptCount val="6"/>
                <c:pt idx="0">
                  <c:v>318236.11004556785</c:v>
                </c:pt>
                <c:pt idx="1">
                  <c:v>9215020.752354743</c:v>
                </c:pt>
                <c:pt idx="2">
                  <c:v>44386204.829520822</c:v>
                </c:pt>
                <c:pt idx="3">
                  <c:v>166706107.2471202</c:v>
                </c:pt>
                <c:pt idx="4">
                  <c:v>308195480.51960135</c:v>
                </c:pt>
                <c:pt idx="5">
                  <c:v>504375234.02971315</c:v>
                </c:pt>
              </c:numCache>
            </c:numRef>
          </c:val>
          <c:smooth val="0"/>
          <c:extLst>
            <c:ext xmlns:c16="http://schemas.microsoft.com/office/drawing/2014/chart" uri="{C3380CC4-5D6E-409C-BE32-E72D297353CC}">
              <c16:uniqueId val="{00000000-7B94-4DC1-BA3A-81CACE2F72D1}"/>
            </c:ext>
          </c:extLst>
        </c:ser>
        <c:dLbls>
          <c:showLegendKey val="0"/>
          <c:showVal val="0"/>
          <c:showCatName val="0"/>
          <c:showSerName val="0"/>
          <c:showPercent val="0"/>
          <c:showBubbleSize val="0"/>
        </c:dLbls>
        <c:marker val="1"/>
        <c:smooth val="0"/>
        <c:axId val="348614032"/>
        <c:axId val="1"/>
      </c:lineChart>
      <c:catAx>
        <c:axId val="3486140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it-IT"/>
          </a:p>
        </c:txPr>
        <c:crossAx val="1"/>
        <c:crosses val="autoZero"/>
        <c:auto val="1"/>
        <c:lblAlgn val="ctr"/>
        <c:lblOffset val="100"/>
        <c:noMultiLvlLbl val="0"/>
      </c:catAx>
      <c:valAx>
        <c:axId val="1"/>
        <c:scaling>
          <c:orientation val="minMax"/>
        </c:scaling>
        <c:delete val="0"/>
        <c:axPos val="l"/>
        <c:numFmt formatCode="_-* #,##0_-;\-* #,##0_-;_-* &quot;-&quot;??_-;_-@_-"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34861403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it-IT"/>
              <a:t>Capital Invested</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it-IT"/>
        </a:p>
      </c:txPr>
    </c:title>
    <c:autoTitleDeleted val="0"/>
    <c:plotArea>
      <c:layout/>
      <c:barChart>
        <c:barDir val="bar"/>
        <c:grouping val="clustered"/>
        <c:varyColors val="0"/>
        <c:ser>
          <c:idx val="0"/>
          <c:order val="0"/>
          <c:tx>
            <c:strRef>
              <c:f>Graphs!$B$124</c:f>
              <c:strCache>
                <c:ptCount val="1"/>
                <c:pt idx="0">
                  <c:v>Capital invested </c:v>
                </c:pt>
              </c:strCache>
            </c:strRef>
          </c:tx>
          <c:spPr>
            <a:pattFill prst="narVert">
              <a:fgClr>
                <a:schemeClr val="accent1"/>
              </a:fgClr>
              <a:bgClr>
                <a:schemeClr val="accent1">
                  <a:lumMod val="20000"/>
                  <a:lumOff val="80000"/>
                </a:schemeClr>
              </a:bgClr>
            </a:patt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Graphs!$C$123:$H$123</c:f>
              <c:numCache>
                <c:formatCode>General</c:formatCode>
                <c:ptCount val="6"/>
                <c:pt idx="0">
                  <c:v>2021</c:v>
                </c:pt>
                <c:pt idx="1">
                  <c:v>2022</c:v>
                </c:pt>
                <c:pt idx="2">
                  <c:v>2023</c:v>
                </c:pt>
                <c:pt idx="3">
                  <c:v>2024</c:v>
                </c:pt>
                <c:pt idx="4">
                  <c:v>2025</c:v>
                </c:pt>
                <c:pt idx="5">
                  <c:v>2026</c:v>
                </c:pt>
              </c:numCache>
            </c:numRef>
          </c:cat>
          <c:val>
            <c:numRef>
              <c:f>Graphs!$C$124:$H$124</c:f>
              <c:numCache>
                <c:formatCode>"€"\ #,##0</c:formatCode>
                <c:ptCount val="6"/>
                <c:pt idx="0">
                  <c:v>153838.30151368064</c:v>
                </c:pt>
                <c:pt idx="1">
                  <c:v>1435562.6962898695</c:v>
                </c:pt>
                <c:pt idx="2">
                  <c:v>33504169.37218453</c:v>
                </c:pt>
                <c:pt idx="3">
                  <c:v>43727732.779830985</c:v>
                </c:pt>
                <c:pt idx="4">
                  <c:v>56013811.654340133</c:v>
                </c:pt>
                <c:pt idx="5">
                  <c:v>72739793.041775793</c:v>
                </c:pt>
              </c:numCache>
            </c:numRef>
          </c:val>
          <c:extLst>
            <c:ext xmlns:c16="http://schemas.microsoft.com/office/drawing/2014/chart" uri="{C3380CC4-5D6E-409C-BE32-E72D297353CC}">
              <c16:uniqueId val="{00000000-A3AC-45B1-99B7-9D669D2A72ED}"/>
            </c:ext>
          </c:extLst>
        </c:ser>
        <c:dLbls>
          <c:showLegendKey val="0"/>
          <c:showVal val="0"/>
          <c:showCatName val="0"/>
          <c:showSerName val="0"/>
          <c:showPercent val="0"/>
          <c:showBubbleSize val="0"/>
        </c:dLbls>
        <c:gapWidth val="227"/>
        <c:overlap val="-48"/>
        <c:axId val="348618192"/>
        <c:axId val="1"/>
      </c:barChart>
      <c:catAx>
        <c:axId val="348618192"/>
        <c:scaling>
          <c:orientation val="minMax"/>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
        <c:crosses val="autoZero"/>
        <c:auto val="1"/>
        <c:lblAlgn val="ctr"/>
        <c:lblOffset val="100"/>
        <c:noMultiLvlLbl val="0"/>
      </c:catAx>
      <c:valAx>
        <c:axId val="1"/>
        <c:scaling>
          <c:orientation val="minMax"/>
        </c:scaling>
        <c:delete val="0"/>
        <c:axPos val="b"/>
        <c:numFmt formatCode="&quot;€&quot;\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34861819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it-IT"/>
              <a:t>Breakdown of revenues by type</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it-IT"/>
        </a:p>
      </c:txPr>
    </c:title>
    <c:autoTitleDeleted val="0"/>
    <c:plotArea>
      <c:layout>
        <c:manualLayout>
          <c:layoutTarget val="inner"/>
          <c:xMode val="edge"/>
          <c:yMode val="edge"/>
          <c:x val="0.20782689373130683"/>
          <c:y val="0.30893719806763287"/>
          <c:w val="0.54714664139204816"/>
          <c:h val="0.5789938757655293"/>
        </c:manualLayout>
      </c:layout>
      <c:barChart>
        <c:barDir val="col"/>
        <c:grouping val="stacked"/>
        <c:varyColors val="0"/>
        <c:ser>
          <c:idx val="0"/>
          <c:order val="0"/>
          <c:tx>
            <c:strRef>
              <c:f>Graphs!$B$144</c:f>
              <c:strCache>
                <c:ptCount val="1"/>
                <c:pt idx="0">
                  <c:v>Big data sale</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6"/>
              <c:pt idx="0">
                <c:v>0</c:v>
              </c:pt>
              <c:pt idx="1">
                <c:v>0</c:v>
              </c:pt>
              <c:pt idx="2">
                <c:v>0</c:v>
              </c:pt>
              <c:pt idx="3">
                <c:v>0</c:v>
              </c:pt>
              <c:pt idx="4">
                <c:v>0</c:v>
              </c:pt>
              <c:pt idx="5">
                <c:v>0</c:v>
              </c:pt>
            </c:numLit>
          </c:cat>
          <c:val>
            <c:numRef>
              <c:f>Graphs!$C$144:$H$144</c:f>
              <c:numCache>
                <c:formatCode>"€"\ #,##0</c:formatCode>
                <c:ptCount val="6"/>
                <c:pt idx="0">
                  <c:v>333333.33333333349</c:v>
                </c:pt>
                <c:pt idx="1">
                  <c:v>9067647.0058236327</c:v>
                </c:pt>
                <c:pt idx="2">
                  <c:v>47293617.554977715</c:v>
                </c:pt>
                <c:pt idx="3">
                  <c:v>108008143.19714284</c:v>
                </c:pt>
                <c:pt idx="4">
                  <c:v>163223799.29193917</c:v>
                </c:pt>
                <c:pt idx="5">
                  <c:v>225170425.49985108</c:v>
                </c:pt>
              </c:numCache>
            </c:numRef>
          </c:val>
          <c:extLst>
            <c:ext xmlns:c16="http://schemas.microsoft.com/office/drawing/2014/chart" uri="{C3380CC4-5D6E-409C-BE32-E72D297353CC}">
              <c16:uniqueId val="{00000000-81AE-4189-8F14-224FB60F683C}"/>
            </c:ext>
          </c:extLst>
        </c:ser>
        <c:ser>
          <c:idx val="1"/>
          <c:order val="1"/>
          <c:tx>
            <c:strRef>
              <c:f>Graphs!$B$145</c:f>
              <c:strCache>
                <c:ptCount val="1"/>
                <c:pt idx="0">
                  <c:v>Sale of premium services</c:v>
                </c:pt>
              </c:strCache>
            </c:strRef>
          </c:tx>
          <c:spPr>
            <a:pattFill prst="narHorz">
              <a:fgClr>
                <a:schemeClr val="accent2"/>
              </a:fgClr>
              <a:bgClr>
                <a:schemeClr val="accent2">
                  <a:lumMod val="20000"/>
                  <a:lumOff val="80000"/>
                </a:schemeClr>
              </a:bgClr>
            </a:pattFill>
            <a:ln>
              <a:noFill/>
            </a:ln>
            <a:effectLst>
              <a:innerShdw blurRad="114300">
                <a:schemeClr val="accent2"/>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6"/>
              <c:pt idx="0">
                <c:v>0</c:v>
              </c:pt>
              <c:pt idx="1">
                <c:v>0</c:v>
              </c:pt>
              <c:pt idx="2">
                <c:v>0</c:v>
              </c:pt>
              <c:pt idx="3">
                <c:v>0</c:v>
              </c:pt>
              <c:pt idx="4">
                <c:v>0</c:v>
              </c:pt>
              <c:pt idx="5">
                <c:v>0</c:v>
              </c:pt>
            </c:numLit>
          </c:cat>
          <c:val>
            <c:numRef>
              <c:f>Graphs!$C$145:$H$145</c:f>
              <c:numCache>
                <c:formatCode>"€"\ #,##0</c:formatCode>
                <c:ptCount val="6"/>
                <c:pt idx="0">
                  <c:v>85000</c:v>
                </c:pt>
                <c:pt idx="1">
                  <c:v>1360147.0508735443</c:v>
                </c:pt>
                <c:pt idx="2">
                  <c:v>7094042.6332466556</c:v>
                </c:pt>
                <c:pt idx="3">
                  <c:v>16201221.479571419</c:v>
                </c:pt>
                <c:pt idx="4">
                  <c:v>24483569.893790863</c:v>
                </c:pt>
                <c:pt idx="5">
                  <c:v>33775563.824977651</c:v>
                </c:pt>
              </c:numCache>
            </c:numRef>
          </c:val>
          <c:extLst>
            <c:ext xmlns:c16="http://schemas.microsoft.com/office/drawing/2014/chart" uri="{C3380CC4-5D6E-409C-BE32-E72D297353CC}">
              <c16:uniqueId val="{00000003-81AE-4189-8F14-224FB60F683C}"/>
            </c:ext>
          </c:extLst>
        </c:ser>
        <c:ser>
          <c:idx val="2"/>
          <c:order val="2"/>
          <c:tx>
            <c:strRef>
              <c:f>Graphs!$B$146</c:f>
              <c:strCache>
                <c:ptCount val="1"/>
                <c:pt idx="0">
                  <c:v>Advertising and marketing activities</c:v>
                </c:pt>
              </c:strCache>
            </c:strRef>
          </c:tx>
          <c:spPr>
            <a:pattFill prst="narHorz">
              <a:fgClr>
                <a:schemeClr val="accent3"/>
              </a:fgClr>
              <a:bgClr>
                <a:schemeClr val="accent3">
                  <a:lumMod val="20000"/>
                  <a:lumOff val="80000"/>
                </a:schemeClr>
              </a:bgClr>
            </a:pattFill>
            <a:ln>
              <a:noFill/>
            </a:ln>
            <a:effectLst>
              <a:innerShdw blurRad="114300">
                <a:schemeClr val="accent3"/>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6"/>
              <c:pt idx="0">
                <c:v>0</c:v>
              </c:pt>
              <c:pt idx="1">
                <c:v>0</c:v>
              </c:pt>
              <c:pt idx="2">
                <c:v>0</c:v>
              </c:pt>
              <c:pt idx="3">
                <c:v>0</c:v>
              </c:pt>
              <c:pt idx="4">
                <c:v>0</c:v>
              </c:pt>
              <c:pt idx="5">
                <c:v>0</c:v>
              </c:pt>
            </c:numLit>
          </c:cat>
          <c:val>
            <c:numRef>
              <c:f>Graphs!$C$146:$H$146</c:f>
              <c:numCache>
                <c:formatCode>"€"\ #,##0</c:formatCode>
                <c:ptCount val="6"/>
                <c:pt idx="0">
                  <c:v>200000</c:v>
                </c:pt>
                <c:pt idx="1">
                  <c:v>5440588.2034941772</c:v>
                </c:pt>
                <c:pt idx="2">
                  <c:v>28376170.532986622</c:v>
                </c:pt>
                <c:pt idx="3">
                  <c:v>64804885.918285675</c:v>
                </c:pt>
                <c:pt idx="4">
                  <c:v>97934279.575163454</c:v>
                </c:pt>
                <c:pt idx="5">
                  <c:v>135102255.29991063</c:v>
                </c:pt>
              </c:numCache>
            </c:numRef>
          </c:val>
          <c:extLst>
            <c:ext xmlns:c16="http://schemas.microsoft.com/office/drawing/2014/chart" uri="{C3380CC4-5D6E-409C-BE32-E72D297353CC}">
              <c16:uniqueId val="{00000007-81AE-4189-8F14-224FB60F683C}"/>
            </c:ext>
          </c:extLst>
        </c:ser>
        <c:dLbls>
          <c:dLblPos val="ctr"/>
          <c:showLegendKey val="0"/>
          <c:showVal val="1"/>
          <c:showCatName val="0"/>
          <c:showSerName val="0"/>
          <c:showPercent val="0"/>
          <c:showBubbleSize val="0"/>
        </c:dLbls>
        <c:gapWidth val="150"/>
        <c:overlap val="100"/>
        <c:axId val="182588272"/>
        <c:axId val="1"/>
      </c:barChart>
      <c:catAx>
        <c:axId val="182588272"/>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
        <c:crosses val="autoZero"/>
        <c:auto val="1"/>
        <c:lblAlgn val="ctr"/>
        <c:lblOffset val="100"/>
        <c:noMultiLvlLbl val="0"/>
      </c:catAx>
      <c:valAx>
        <c:axId val="1"/>
        <c:scaling>
          <c:orientation val="minMax"/>
        </c:scaling>
        <c:delete val="0"/>
        <c:axPos val="l"/>
        <c:majorGridlines>
          <c:spPr>
            <a:ln>
              <a:solidFill>
                <a:schemeClr val="tx1">
                  <a:lumMod val="15000"/>
                  <a:lumOff val="85000"/>
                </a:schemeClr>
              </a:solidFill>
            </a:ln>
            <a:effectLst/>
          </c:spPr>
        </c:majorGridlines>
        <c:numFmt formatCode="&quot;€&quot;\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82588272"/>
        <c:crosses val="autoZero"/>
        <c:crossBetween val="between"/>
      </c:valAx>
      <c:spPr>
        <a:noFill/>
        <a:ln>
          <a:noFill/>
        </a:ln>
        <a:effectLst/>
      </c:spPr>
    </c:plotArea>
    <c:legend>
      <c:legendPos val="r"/>
      <c:layout>
        <c:manualLayout>
          <c:xMode val="edge"/>
          <c:yMode val="edge"/>
          <c:x val="0.78901015845241562"/>
          <c:y val="0.2722203202860512"/>
          <c:w val="0.17998201613687179"/>
          <c:h val="0.5615976263836585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it-IT"/>
              <a:t>Revenue breakdown in 2021</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it-IT"/>
        </a:p>
      </c:txPr>
    </c:title>
    <c:autoTitleDeleted val="0"/>
    <c:plotArea>
      <c:layout/>
      <c:doughnutChart>
        <c:varyColors val="1"/>
        <c:ser>
          <c:idx val="0"/>
          <c:order val="0"/>
          <c:tx>
            <c:strRef>
              <c:f>Graphs!$B$162:$B$164</c:f>
              <c:strCache>
                <c:ptCount val="3"/>
                <c:pt idx="0">
                  <c:v>Big data sale</c:v>
                </c:pt>
                <c:pt idx="1">
                  <c:v>Sale of premium services</c:v>
                </c:pt>
                <c:pt idx="2">
                  <c:v>Advertising and marketing activities</c:v>
                </c:pt>
              </c:strCache>
            </c:strRef>
          </c:tx>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0-4020-4920-88F5-2A7FF1C02651}"/>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1-4020-4920-88F5-2A7FF1C02651}"/>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2-4020-4920-88F5-2A7FF1C0265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extLst>
          </c:dLbls>
          <c:cat>
            <c:strRef>
              <c:f>Graphs!$B$162:$B$164</c:f>
              <c:strCache>
                <c:ptCount val="3"/>
                <c:pt idx="0">
                  <c:v>Big data sale</c:v>
                </c:pt>
                <c:pt idx="1">
                  <c:v>Sale of premium services</c:v>
                </c:pt>
                <c:pt idx="2">
                  <c:v>Advertising and marketing activities</c:v>
                </c:pt>
              </c:strCache>
            </c:strRef>
          </c:cat>
          <c:val>
            <c:numRef>
              <c:f>Graphs!$C$162:$C$164</c:f>
              <c:numCache>
                <c:formatCode>0%</c:formatCode>
                <c:ptCount val="3"/>
                <c:pt idx="0">
                  <c:v>0.53908355795148255</c:v>
                </c:pt>
                <c:pt idx="1">
                  <c:v>0.13746630727762799</c:v>
                </c:pt>
                <c:pt idx="2">
                  <c:v>0.32345013477088941</c:v>
                </c:pt>
              </c:numCache>
            </c:numRef>
          </c:val>
          <c:extLst>
            <c:ext xmlns:c16="http://schemas.microsoft.com/office/drawing/2014/chart" uri="{C3380CC4-5D6E-409C-BE32-E72D297353CC}">
              <c16:uniqueId val="{00000003-4020-4920-88F5-2A7FF1C02651}"/>
            </c:ext>
          </c:extLst>
        </c:ser>
        <c:dLbls>
          <c:showLegendKey val="0"/>
          <c:showVal val="0"/>
          <c:showCatName val="0"/>
          <c:showSerName val="0"/>
          <c:showPercent val="0"/>
          <c:showBubbleSize val="0"/>
          <c:showLeaderLines val="0"/>
        </c:dLbls>
        <c:firstSliceAng val="0"/>
        <c:holeSize val="70"/>
      </c:doughnut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it-IT"/>
              <a:t>Revenue breakdown in 2026</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it-IT"/>
        </a:p>
      </c:txPr>
    </c:title>
    <c:autoTitleDeleted val="0"/>
    <c:plotArea>
      <c:layout/>
      <c:doughnutChart>
        <c:varyColors val="1"/>
        <c:ser>
          <c:idx val="0"/>
          <c:order val="0"/>
          <c:tx>
            <c:strRef>
              <c:f>Graphs!$B$185:$B$187</c:f>
              <c:strCache>
                <c:ptCount val="3"/>
                <c:pt idx="0">
                  <c:v>Big data sale</c:v>
                </c:pt>
                <c:pt idx="1">
                  <c:v>Sale of premium services</c:v>
                </c:pt>
                <c:pt idx="2">
                  <c:v>Advertising and marketing activities</c:v>
                </c:pt>
              </c:strCache>
            </c:strRef>
          </c:tx>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0-3902-440A-8EBB-329EE94A59F7}"/>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1-3902-440A-8EBB-329EE94A59F7}"/>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2-3902-440A-8EBB-329EE94A59F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extLst>
          </c:dLbls>
          <c:cat>
            <c:strRef>
              <c:f>Graphs!$B$185:$B$187</c:f>
              <c:strCache>
                <c:ptCount val="3"/>
                <c:pt idx="0">
                  <c:v>Big data sale</c:v>
                </c:pt>
                <c:pt idx="1">
                  <c:v>Sale of premium services</c:v>
                </c:pt>
                <c:pt idx="2">
                  <c:v>Advertising and marketing activities</c:v>
                </c:pt>
              </c:strCache>
            </c:strRef>
          </c:cat>
          <c:val>
            <c:numRef>
              <c:f>Graphs!$C$185:$C$187</c:f>
              <c:numCache>
                <c:formatCode>0%</c:formatCode>
                <c:ptCount val="3"/>
                <c:pt idx="0">
                  <c:v>0.5714285714285714</c:v>
                </c:pt>
                <c:pt idx="1">
                  <c:v>8.5714285714285687E-2</c:v>
                </c:pt>
                <c:pt idx="2">
                  <c:v>0.3428571428571428</c:v>
                </c:pt>
              </c:numCache>
            </c:numRef>
          </c:val>
          <c:extLst>
            <c:ext xmlns:c16="http://schemas.microsoft.com/office/drawing/2014/chart" uri="{C3380CC4-5D6E-409C-BE32-E72D297353CC}">
              <c16:uniqueId val="{00000003-3902-440A-8EBB-329EE94A59F7}"/>
            </c:ext>
          </c:extLst>
        </c:ser>
        <c:dLbls>
          <c:showLegendKey val="0"/>
          <c:showVal val="0"/>
          <c:showCatName val="0"/>
          <c:showSerName val="0"/>
          <c:showPercent val="0"/>
          <c:showBubbleSize val="0"/>
          <c:showLeaderLines val="0"/>
        </c:dLbls>
        <c:firstSliceAng val="0"/>
        <c:holeSize val="70"/>
      </c:doughnut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99">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styleClr val="auto"/>
    </cs:lnRef>
    <cs:fillRef idx="0">
      <cs:styleClr val="auto"/>
    </cs:fillRef>
    <cs:effectRef idx="0"/>
    <cs:fontRef idx="minor">
      <a:schemeClr val="tx1"/>
    </cs:fontRef>
    <cs:spPr>
      <a:pattFill prst="ltDnDiag">
        <a:fgClr>
          <a:schemeClr val="phClr"/>
        </a:fgClr>
        <a:bgClr>
          <a:schemeClr val="phClr">
            <a:lumMod val="20000"/>
            <a:lumOff val="80000"/>
          </a:schemeClr>
        </a:bgClr>
      </a:pattFill>
      <a:ln>
        <a:solidFill>
          <a:schemeClr val="phClr"/>
        </a:solidFill>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spPr>
      <a:ln w="19050" cap="flat" cmpd="sng" algn="ctr">
        <a:solidFill>
          <a:schemeClr val="tx1">
            <a:lumMod val="25000"/>
            <a:lumOff val="75000"/>
          </a:schemeClr>
        </a:solidFill>
        <a:round/>
      </a:ln>
    </cs:spPr>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99">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styleClr val="auto"/>
    </cs:lnRef>
    <cs:fillRef idx="0">
      <cs:styleClr val="auto"/>
    </cs:fillRef>
    <cs:effectRef idx="0"/>
    <cs:fontRef idx="minor">
      <a:schemeClr val="tx1"/>
    </cs:fontRef>
    <cs:spPr>
      <a:pattFill prst="ltDnDiag">
        <a:fgClr>
          <a:schemeClr val="phClr"/>
        </a:fgClr>
        <a:bgClr>
          <a:schemeClr val="phClr">
            <a:lumMod val="20000"/>
            <a:lumOff val="80000"/>
          </a:schemeClr>
        </a:bgClr>
      </a:pattFill>
      <a:ln>
        <a:solidFill>
          <a:schemeClr val="phClr"/>
        </a:solidFill>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spPr>
      <a:ln w="19050" cap="flat" cmpd="sng" algn="ctr">
        <a:solidFill>
          <a:schemeClr val="tx1">
            <a:lumMod val="25000"/>
            <a:lumOff val="75000"/>
          </a:schemeClr>
        </a:solidFill>
        <a:round/>
      </a:ln>
    </cs:spPr>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99">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styleClr val="auto"/>
    </cs:lnRef>
    <cs:fillRef idx="0">
      <cs:styleClr val="auto"/>
    </cs:fillRef>
    <cs:effectRef idx="0"/>
    <cs:fontRef idx="minor">
      <a:schemeClr val="tx1"/>
    </cs:fontRef>
    <cs:spPr>
      <a:pattFill prst="ltDnDiag">
        <a:fgClr>
          <a:schemeClr val="phClr"/>
        </a:fgClr>
        <a:bgClr>
          <a:schemeClr val="phClr">
            <a:lumMod val="20000"/>
            <a:lumOff val="80000"/>
          </a:schemeClr>
        </a:bgClr>
      </a:pattFill>
      <a:ln>
        <a:solidFill>
          <a:schemeClr val="phClr"/>
        </a:solidFill>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spPr>
      <a:ln w="19050" cap="flat" cmpd="sng" algn="ctr">
        <a:solidFill>
          <a:schemeClr val="tx1">
            <a:lumMod val="25000"/>
            <a:lumOff val="75000"/>
          </a:schemeClr>
        </a:solidFill>
        <a:round/>
      </a:ln>
    </cs:spPr>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9</xdr:col>
      <xdr:colOff>480060</xdr:colOff>
      <xdr:row>0</xdr:row>
      <xdr:rowOff>114300</xdr:rowOff>
    </xdr:from>
    <xdr:to>
      <xdr:col>17</xdr:col>
      <xdr:colOff>205740</xdr:colOff>
      <xdr:row>18</xdr:row>
      <xdr:rowOff>114300</xdr:rowOff>
    </xdr:to>
    <xdr:graphicFrame macro="">
      <xdr:nvGraphicFramePr>
        <xdr:cNvPr id="2361843" name="Grafico 1">
          <a:extLst>
            <a:ext uri="{FF2B5EF4-FFF2-40B4-BE49-F238E27FC236}">
              <a16:creationId xmlns:a16="http://schemas.microsoft.com/office/drawing/2014/main" id="{C57BA1C3-0398-451E-B28F-C79B2D9DEA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60960</xdr:colOff>
      <xdr:row>40</xdr:row>
      <xdr:rowOff>106680</xdr:rowOff>
    </xdr:from>
    <xdr:to>
      <xdr:col>17</xdr:col>
      <xdr:colOff>335280</xdr:colOff>
      <xdr:row>58</xdr:row>
      <xdr:rowOff>106680</xdr:rowOff>
    </xdr:to>
    <xdr:graphicFrame macro="">
      <xdr:nvGraphicFramePr>
        <xdr:cNvPr id="2361844" name="Grafico 2">
          <a:extLst>
            <a:ext uri="{FF2B5EF4-FFF2-40B4-BE49-F238E27FC236}">
              <a16:creationId xmlns:a16="http://schemas.microsoft.com/office/drawing/2014/main" id="{702DC8D2-876D-42AF-9472-839EF6F1D0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487680</xdr:colOff>
      <xdr:row>60</xdr:row>
      <xdr:rowOff>83820</xdr:rowOff>
    </xdr:from>
    <xdr:to>
      <xdr:col>17</xdr:col>
      <xdr:colOff>213360</xdr:colOff>
      <xdr:row>78</xdr:row>
      <xdr:rowOff>83820</xdr:rowOff>
    </xdr:to>
    <xdr:graphicFrame macro="">
      <xdr:nvGraphicFramePr>
        <xdr:cNvPr id="2361845" name="Grafico 3">
          <a:extLst>
            <a:ext uri="{FF2B5EF4-FFF2-40B4-BE49-F238E27FC236}">
              <a16:creationId xmlns:a16="http://schemas.microsoft.com/office/drawing/2014/main" id="{F6CC27A6-3850-4339-93A5-04F4342D49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81</xdr:row>
      <xdr:rowOff>0</xdr:rowOff>
    </xdr:from>
    <xdr:to>
      <xdr:col>17</xdr:col>
      <xdr:colOff>274320</xdr:colOff>
      <xdr:row>99</xdr:row>
      <xdr:rowOff>0</xdr:rowOff>
    </xdr:to>
    <xdr:graphicFrame macro="">
      <xdr:nvGraphicFramePr>
        <xdr:cNvPr id="2361846" name="Grafico 4">
          <a:extLst>
            <a:ext uri="{FF2B5EF4-FFF2-40B4-BE49-F238E27FC236}">
              <a16:creationId xmlns:a16="http://schemas.microsoft.com/office/drawing/2014/main" id="{81DE2502-3A4A-4FD8-9840-537369B21D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0</xdr:colOff>
      <xdr:row>101</xdr:row>
      <xdr:rowOff>0</xdr:rowOff>
    </xdr:from>
    <xdr:to>
      <xdr:col>17</xdr:col>
      <xdr:colOff>274320</xdr:colOff>
      <xdr:row>119</xdr:row>
      <xdr:rowOff>0</xdr:rowOff>
    </xdr:to>
    <xdr:graphicFrame macro="">
      <xdr:nvGraphicFramePr>
        <xdr:cNvPr id="2361847" name="Grafico 5">
          <a:extLst>
            <a:ext uri="{FF2B5EF4-FFF2-40B4-BE49-F238E27FC236}">
              <a16:creationId xmlns:a16="http://schemas.microsoft.com/office/drawing/2014/main" id="{872C4F05-A0D9-4F45-850C-F73AC9E7FA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122</xdr:row>
      <xdr:rowOff>0</xdr:rowOff>
    </xdr:from>
    <xdr:to>
      <xdr:col>17</xdr:col>
      <xdr:colOff>274320</xdr:colOff>
      <xdr:row>140</xdr:row>
      <xdr:rowOff>0</xdr:rowOff>
    </xdr:to>
    <xdr:graphicFrame macro="">
      <xdr:nvGraphicFramePr>
        <xdr:cNvPr id="2361848" name="Grafico 6">
          <a:extLst>
            <a:ext uri="{FF2B5EF4-FFF2-40B4-BE49-F238E27FC236}">
              <a16:creationId xmlns:a16="http://schemas.microsoft.com/office/drawing/2014/main" id="{4F77A25E-7915-4673-87A1-88BD3C3B00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0</xdr:colOff>
      <xdr:row>142</xdr:row>
      <xdr:rowOff>0</xdr:rowOff>
    </xdr:from>
    <xdr:to>
      <xdr:col>17</xdr:col>
      <xdr:colOff>274320</xdr:colOff>
      <xdr:row>160</xdr:row>
      <xdr:rowOff>0</xdr:rowOff>
    </xdr:to>
    <xdr:graphicFrame macro="">
      <xdr:nvGraphicFramePr>
        <xdr:cNvPr id="2361849" name="Grafico 7">
          <a:extLst>
            <a:ext uri="{FF2B5EF4-FFF2-40B4-BE49-F238E27FC236}">
              <a16:creationId xmlns:a16="http://schemas.microsoft.com/office/drawing/2014/main" id="{7D798712-B3BC-40CC-A08D-86DD48E40B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162</xdr:row>
      <xdr:rowOff>0</xdr:rowOff>
    </xdr:from>
    <xdr:to>
      <xdr:col>17</xdr:col>
      <xdr:colOff>274320</xdr:colOff>
      <xdr:row>180</xdr:row>
      <xdr:rowOff>0</xdr:rowOff>
    </xdr:to>
    <xdr:graphicFrame macro="">
      <xdr:nvGraphicFramePr>
        <xdr:cNvPr id="2361850" name="Grafico 8">
          <a:extLst>
            <a:ext uri="{FF2B5EF4-FFF2-40B4-BE49-F238E27FC236}">
              <a16:creationId xmlns:a16="http://schemas.microsoft.com/office/drawing/2014/main" id="{B133FD39-7F3B-4257-8939-AFC0217A29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0</xdr:colOff>
      <xdr:row>182</xdr:row>
      <xdr:rowOff>0</xdr:rowOff>
    </xdr:from>
    <xdr:to>
      <xdr:col>17</xdr:col>
      <xdr:colOff>274320</xdr:colOff>
      <xdr:row>200</xdr:row>
      <xdr:rowOff>0</xdr:rowOff>
    </xdr:to>
    <xdr:graphicFrame macro="">
      <xdr:nvGraphicFramePr>
        <xdr:cNvPr id="2361851" name="Grafico 9">
          <a:extLst>
            <a:ext uri="{FF2B5EF4-FFF2-40B4-BE49-F238E27FC236}">
              <a16:creationId xmlns:a16="http://schemas.microsoft.com/office/drawing/2014/main" id="{2CD168EE-CDEF-4845-B2A4-D153242D3B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0</xdr:colOff>
      <xdr:row>205</xdr:row>
      <xdr:rowOff>0</xdr:rowOff>
    </xdr:from>
    <xdr:to>
      <xdr:col>17</xdr:col>
      <xdr:colOff>274320</xdr:colOff>
      <xdr:row>223</xdr:row>
      <xdr:rowOff>0</xdr:rowOff>
    </xdr:to>
    <xdr:graphicFrame macro="">
      <xdr:nvGraphicFramePr>
        <xdr:cNvPr id="2361852" name="Grafico 10">
          <a:extLst>
            <a:ext uri="{FF2B5EF4-FFF2-40B4-BE49-F238E27FC236}">
              <a16:creationId xmlns:a16="http://schemas.microsoft.com/office/drawing/2014/main" id="{FFD08CED-14E9-4E99-BFC4-4254B85F1E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10</xdr:col>
      <xdr:colOff>0</xdr:colOff>
      <xdr:row>226</xdr:row>
      <xdr:rowOff>0</xdr:rowOff>
    </xdr:from>
    <xdr:to>
      <xdr:col>17</xdr:col>
      <xdr:colOff>274320</xdr:colOff>
      <xdr:row>244</xdr:row>
      <xdr:rowOff>0</xdr:rowOff>
    </xdr:to>
    <xdr:graphicFrame macro="">
      <xdr:nvGraphicFramePr>
        <xdr:cNvPr id="2361853" name="Grafico 11">
          <a:extLst>
            <a:ext uri="{FF2B5EF4-FFF2-40B4-BE49-F238E27FC236}">
              <a16:creationId xmlns:a16="http://schemas.microsoft.com/office/drawing/2014/main" id="{E1F92DFE-7C07-4042-87DD-F05ECA8DEE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10</xdr:col>
      <xdr:colOff>0</xdr:colOff>
      <xdr:row>247</xdr:row>
      <xdr:rowOff>0</xdr:rowOff>
    </xdr:from>
    <xdr:to>
      <xdr:col>17</xdr:col>
      <xdr:colOff>274320</xdr:colOff>
      <xdr:row>265</xdr:row>
      <xdr:rowOff>0</xdr:rowOff>
    </xdr:to>
    <xdr:graphicFrame macro="">
      <xdr:nvGraphicFramePr>
        <xdr:cNvPr id="2361854" name="Grafico 12">
          <a:extLst>
            <a:ext uri="{FF2B5EF4-FFF2-40B4-BE49-F238E27FC236}">
              <a16:creationId xmlns:a16="http://schemas.microsoft.com/office/drawing/2014/main" id="{CA52365A-1FD9-4931-9910-D0CB5E6477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10</xdr:col>
      <xdr:colOff>0</xdr:colOff>
      <xdr:row>267</xdr:row>
      <xdr:rowOff>0</xdr:rowOff>
    </xdr:from>
    <xdr:to>
      <xdr:col>17</xdr:col>
      <xdr:colOff>274320</xdr:colOff>
      <xdr:row>285</xdr:row>
      <xdr:rowOff>0</xdr:rowOff>
    </xdr:to>
    <xdr:graphicFrame macro="">
      <xdr:nvGraphicFramePr>
        <xdr:cNvPr id="2361855" name="Grafico 13">
          <a:extLst>
            <a:ext uri="{FF2B5EF4-FFF2-40B4-BE49-F238E27FC236}">
              <a16:creationId xmlns:a16="http://schemas.microsoft.com/office/drawing/2014/main" id="{3D49A912-AFBF-4AF5-B6FB-4839B585A7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10</xdr:col>
      <xdr:colOff>0</xdr:colOff>
      <xdr:row>287</xdr:row>
      <xdr:rowOff>0</xdr:rowOff>
    </xdr:from>
    <xdr:to>
      <xdr:col>17</xdr:col>
      <xdr:colOff>274320</xdr:colOff>
      <xdr:row>305</xdr:row>
      <xdr:rowOff>0</xdr:rowOff>
    </xdr:to>
    <xdr:graphicFrame macro="">
      <xdr:nvGraphicFramePr>
        <xdr:cNvPr id="2361856" name="Grafico 14">
          <a:extLst>
            <a:ext uri="{FF2B5EF4-FFF2-40B4-BE49-F238E27FC236}">
              <a16:creationId xmlns:a16="http://schemas.microsoft.com/office/drawing/2014/main" id="{E8EA2729-AE82-4691-B5FF-F354066B95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10</xdr:col>
      <xdr:colOff>0</xdr:colOff>
      <xdr:row>308</xdr:row>
      <xdr:rowOff>0</xdr:rowOff>
    </xdr:from>
    <xdr:to>
      <xdr:col>17</xdr:col>
      <xdr:colOff>274320</xdr:colOff>
      <xdr:row>326</xdr:row>
      <xdr:rowOff>0</xdr:rowOff>
    </xdr:to>
    <xdr:graphicFrame macro="">
      <xdr:nvGraphicFramePr>
        <xdr:cNvPr id="2361857" name="Grafico 15">
          <a:extLst>
            <a:ext uri="{FF2B5EF4-FFF2-40B4-BE49-F238E27FC236}">
              <a16:creationId xmlns:a16="http://schemas.microsoft.com/office/drawing/2014/main" id="{F1584B91-5A9B-47E6-860A-3369375F70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21</xdr:col>
      <xdr:colOff>25400</xdr:colOff>
      <xdr:row>287</xdr:row>
      <xdr:rowOff>6350</xdr:rowOff>
    </xdr:from>
    <xdr:to>
      <xdr:col>28</xdr:col>
      <xdr:colOff>298450</xdr:colOff>
      <xdr:row>305</xdr:row>
      <xdr:rowOff>6350</xdr:rowOff>
    </xdr:to>
    <xdr:graphicFrame macro="">
      <xdr:nvGraphicFramePr>
        <xdr:cNvPr id="2361858" name="Grafico 14">
          <a:extLst>
            <a:ext uri="{FF2B5EF4-FFF2-40B4-BE49-F238E27FC236}">
              <a16:creationId xmlns:a16="http://schemas.microsoft.com/office/drawing/2014/main" id="{121F8427-2EEC-4083-890E-5261E72D38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10</xdr:col>
      <xdr:colOff>0</xdr:colOff>
      <xdr:row>22</xdr:row>
      <xdr:rowOff>0</xdr:rowOff>
    </xdr:from>
    <xdr:to>
      <xdr:col>17</xdr:col>
      <xdr:colOff>274320</xdr:colOff>
      <xdr:row>40</xdr:row>
      <xdr:rowOff>0</xdr:rowOff>
    </xdr:to>
    <xdr:graphicFrame macro="">
      <xdr:nvGraphicFramePr>
        <xdr:cNvPr id="2361859" name="Grafico 1">
          <a:extLst>
            <a:ext uri="{FF2B5EF4-FFF2-40B4-BE49-F238E27FC236}">
              <a16:creationId xmlns:a16="http://schemas.microsoft.com/office/drawing/2014/main" id="{AE05E610-A7D8-448C-993E-6B6CD126EE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739140</xdr:colOff>
      <xdr:row>18</xdr:row>
      <xdr:rowOff>15240</xdr:rowOff>
    </xdr:from>
    <xdr:to>
      <xdr:col>11</xdr:col>
      <xdr:colOff>259080</xdr:colOff>
      <xdr:row>37</xdr:row>
      <xdr:rowOff>7620</xdr:rowOff>
    </xdr:to>
    <xdr:graphicFrame macro="">
      <xdr:nvGraphicFramePr>
        <xdr:cNvPr id="676873" name="Grafico 1">
          <a:extLst>
            <a:ext uri="{FF2B5EF4-FFF2-40B4-BE49-F238E27FC236}">
              <a16:creationId xmlns:a16="http://schemas.microsoft.com/office/drawing/2014/main" id="{75554C77-1BF3-4279-93EA-FD356246A6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iannamorelli/Documents/Deloitte/Projects/FY2015/Colleparco/NEW/Colleparco%20Financial%20Model.027.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list"/>
      <sheetName val="hp"/>
      <sheetName val="quadratura perizia"/>
      <sheetName val="Superfici_marzo 2014"/>
      <sheetName val="oCE_PRUACS"/>
      <sheetName val="oCE"/>
      <sheetName val="oSP"/>
      <sheetName val="oCF"/>
      <sheetName val="oCE_Fondazione"/>
      <sheetName val="oCE_Atena"/>
      <sheetName val="mutuo linea senior"/>
      <sheetName val="Opening SP_NEWCO"/>
      <sheetName val="Opening SP"/>
      <sheetName val="BS 31122013"/>
      <sheetName val="calcCE"/>
      <sheetName val="calcSP"/>
      <sheetName val="Foglio1"/>
      <sheetName val="Foglio1_rev"/>
      <sheetName val="SUP NUOVE LORDE"/>
      <sheetName val="aggiornamento superfici"/>
      <sheetName val="superificie e costruzione"/>
      <sheetName val="dati architetto"/>
      <sheetName val="stima canone"/>
      <sheetName val="mutuo linea IVA"/>
      <sheetName val="Template"/>
      <sheetName val="Disclaimer"/>
      <sheetName val="Data Info"/>
      <sheetName val="sysTimeline"/>
      <sheetName val="sysConfi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row r="14">
          <cell r="C14" t="str">
            <v>Dummy data set</v>
          </cell>
        </row>
        <row r="16">
          <cell r="C16">
            <v>1</v>
          </cell>
        </row>
        <row r="17">
          <cell r="C17">
            <v>1</v>
          </cell>
        </row>
        <row r="25">
          <cell r="F25">
            <v>41640</v>
          </cell>
        </row>
      </sheetData>
      <sheetData sheetId="27"/>
      <sheetData sheetId="28" refreshError="1">
        <row r="1">
          <cell r="B1" t="str">
            <v>Colleparco Modelling Template</v>
          </cell>
        </row>
        <row r="6">
          <cell r="B6" t="str">
            <v>Version: 27.001.006 | dd apr yy 12:58</v>
          </cell>
        </row>
        <row r="7">
          <cell r="B7" t="str">
            <v>Data Set: Dummy data set 1.001</v>
          </cell>
        </row>
        <row r="16">
          <cell r="C16" t="str">
            <v>Colleparco</v>
          </cell>
        </row>
        <row r="17">
          <cell r="C17" t="str">
            <v>Modelling Template</v>
          </cell>
        </row>
        <row r="18">
          <cell r="C18" t="str">
            <v>Colleparco Financial Model</v>
          </cell>
        </row>
        <row r="24">
          <cell r="C24">
            <v>27</v>
          </cell>
        </row>
        <row r="25">
          <cell r="C25">
            <v>1</v>
          </cell>
        </row>
        <row r="26">
          <cell r="C26">
            <v>6</v>
          </cell>
        </row>
        <row r="28">
          <cell r="C28">
            <v>42103.540381944447</v>
          </cell>
        </row>
        <row r="30">
          <cell r="C30" t="str">
            <v>Version</v>
          </cell>
        </row>
        <row r="31">
          <cell r="C31" t="str">
            <v>Data Set</v>
          </cell>
        </row>
        <row r="32">
          <cell r="C32" t="str">
            <v>000</v>
          </cell>
        </row>
        <row r="33">
          <cell r="C33" t="str">
            <v>dd mmm yy hh:mm</v>
          </cell>
        </row>
        <row r="151">
          <cell r="C151" t="str">
            <v>Yes</v>
          </cell>
        </row>
        <row r="152">
          <cell r="C152" t="str">
            <v>No</v>
          </cell>
        </row>
        <row r="154">
          <cell r="C154" t="str">
            <v>On</v>
          </cell>
        </row>
        <row r="155">
          <cell r="C155" t="str">
            <v>Off</v>
          </cell>
        </row>
        <row r="157">
          <cell r="C157" t="str">
            <v>Prefix</v>
          </cell>
        </row>
        <row r="158">
          <cell r="C158" t="str">
            <v>Suffix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s://www.grandviewresearch.com/industry-analysis/cellulose-ester-market" TargetMode="External"/><Relationship Id="rId7" Type="http://schemas.openxmlformats.org/officeDocument/2006/relationships/printerSettings" Target="../printerSettings/printerSettings8.bin"/><Relationship Id="rId2" Type="http://schemas.openxmlformats.org/officeDocument/2006/relationships/hyperlink" Target="https://webthesis.biblio.polito.it/7667/1/tesi.pdf" TargetMode="External"/><Relationship Id="rId1" Type="http://schemas.openxmlformats.org/officeDocument/2006/relationships/hyperlink" Target="https://www.marketsandmarkets.com/Market-Reports/nano-cellulose-market-56392090.html?gclid=Cj0KCQiAk7TuBRDQARIsAMRrfUYsPodn6akVKRf6Nzkc0Mq38O6eDgyHKIyh9hQMeYwLERFRoMdbq1QaAvu7EALw_wcB" TargetMode="External"/><Relationship Id="rId6" Type="http://schemas.openxmlformats.org/officeDocument/2006/relationships/hyperlink" Target="https://courant.biz/report/gamma-valerolactone-cas-108-29-2-market/6078/" TargetMode="External"/><Relationship Id="rId5" Type="http://schemas.openxmlformats.org/officeDocument/2006/relationships/hyperlink" Target="https://www.globalinforesearch.com/info/global-levulinic-acid-market-2018-forecast-to-2023_i0166.html" TargetMode="External"/><Relationship Id="rId4" Type="http://schemas.openxmlformats.org/officeDocument/2006/relationships/hyperlink" Target="https://www.marketsandmarkets.com/Market-Reports/furfural-market-101056456.html?gclid=Cj0KCQiAk7TuBRDQARIsAMRrfUZXCEYkRxLzoP2xPvXbm2dTJjKZlW6KHrgD8TR1s7yUu5XwYa5Zcj4aAnwUEALw_wcB" TargetMode="External"/><Relationship Id="rId9"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59999389629810485"/>
  </sheetPr>
  <dimension ref="B2:P97"/>
  <sheetViews>
    <sheetView workbookViewId="0">
      <selection activeCell="B16" sqref="B16:P16"/>
    </sheetView>
  </sheetViews>
  <sheetFormatPr defaultRowHeight="11.4" x14ac:dyDescent="0.2"/>
  <cols>
    <col min="2" max="2" width="59.625" customWidth="1"/>
    <col min="3" max="3" width="70.125" customWidth="1"/>
  </cols>
  <sheetData>
    <row r="2" spans="2:16" ht="12" x14ac:dyDescent="0.25">
      <c r="B2" s="228" t="s">
        <v>210</v>
      </c>
    </row>
    <row r="4" spans="2:16" x14ac:dyDescent="0.2">
      <c r="B4" s="227"/>
      <c r="C4" s="5" t="s">
        <v>209</v>
      </c>
    </row>
    <row r="6" spans="2:16" x14ac:dyDescent="0.2">
      <c r="B6" s="229"/>
      <c r="C6" s="5" t="s">
        <v>211</v>
      </c>
    </row>
    <row r="8" spans="2:16" x14ac:dyDescent="0.2">
      <c r="B8" s="230"/>
      <c r="C8" t="s">
        <v>212</v>
      </c>
    </row>
    <row r="11" spans="2:16" ht="12" x14ac:dyDescent="0.25">
      <c r="B11" s="238" t="s">
        <v>256</v>
      </c>
    </row>
    <row r="14" spans="2:16" ht="12" x14ac:dyDescent="0.25">
      <c r="B14" s="228" t="s">
        <v>258</v>
      </c>
    </row>
    <row r="16" spans="2:16" ht="144" customHeight="1" x14ac:dyDescent="0.2">
      <c r="B16" s="315" t="s">
        <v>260</v>
      </c>
      <c r="C16" s="315"/>
      <c r="D16" s="315"/>
      <c r="E16" s="315"/>
      <c r="F16" s="315"/>
      <c r="G16" s="315"/>
      <c r="H16" s="315"/>
      <c r="I16" s="315"/>
      <c r="J16" s="315"/>
      <c r="K16" s="315"/>
      <c r="L16" s="315"/>
      <c r="M16" s="315"/>
      <c r="N16" s="315"/>
      <c r="O16" s="315"/>
      <c r="P16" s="315"/>
    </row>
    <row r="22" spans="2:3" ht="12" x14ac:dyDescent="0.25">
      <c r="B22" s="228" t="s">
        <v>213</v>
      </c>
    </row>
    <row r="24" spans="2:3" ht="12" x14ac:dyDescent="0.25">
      <c r="B24" s="231" t="s">
        <v>106</v>
      </c>
    </row>
    <row r="26" spans="2:3" x14ac:dyDescent="0.2">
      <c r="B26" s="234" t="s">
        <v>214</v>
      </c>
    </row>
    <row r="27" spans="2:3" ht="61.5" customHeight="1" x14ac:dyDescent="0.2">
      <c r="B27" s="235" t="s">
        <v>47</v>
      </c>
      <c r="C27" s="233" t="s">
        <v>219</v>
      </c>
    </row>
    <row r="28" spans="2:3" ht="86.25" customHeight="1" x14ac:dyDescent="0.2">
      <c r="B28" s="235" t="s">
        <v>46</v>
      </c>
      <c r="C28" s="233" t="s">
        <v>215</v>
      </c>
    </row>
    <row r="29" spans="2:3" ht="58.5" customHeight="1" x14ac:dyDescent="0.2">
      <c r="B29" s="232" t="s">
        <v>48</v>
      </c>
      <c r="C29" s="233" t="s">
        <v>257</v>
      </c>
    </row>
    <row r="31" spans="2:3" x14ac:dyDescent="0.2">
      <c r="B31" s="234" t="s">
        <v>44</v>
      </c>
    </row>
    <row r="32" spans="2:3" ht="83.25" customHeight="1" x14ac:dyDescent="0.2">
      <c r="B32" s="235" t="s">
        <v>47</v>
      </c>
      <c r="C32" s="233" t="s">
        <v>216</v>
      </c>
    </row>
    <row r="33" spans="2:3" ht="51" customHeight="1" x14ac:dyDescent="0.2">
      <c r="B33" s="236" t="s">
        <v>218</v>
      </c>
      <c r="C33" s="233" t="s">
        <v>217</v>
      </c>
    </row>
    <row r="35" spans="2:3" x14ac:dyDescent="0.2">
      <c r="B35" s="234" t="s">
        <v>45</v>
      </c>
    </row>
    <row r="36" spans="2:3" ht="83.25" customHeight="1" x14ac:dyDescent="0.2">
      <c r="B36" s="235" t="s">
        <v>47</v>
      </c>
      <c r="C36" s="233" t="s">
        <v>219</v>
      </c>
    </row>
    <row r="37" spans="2:3" ht="66.75" customHeight="1" x14ac:dyDescent="0.2">
      <c r="B37" s="236" t="s">
        <v>218</v>
      </c>
      <c r="C37" s="233" t="s">
        <v>220</v>
      </c>
    </row>
    <row r="40" spans="2:3" ht="12" x14ac:dyDescent="0.25">
      <c r="B40" s="231" t="s">
        <v>57</v>
      </c>
    </row>
    <row r="42" spans="2:3" ht="48" customHeight="1" x14ac:dyDescent="0.2">
      <c r="B42" s="235" t="s">
        <v>54</v>
      </c>
      <c r="C42" s="233" t="s">
        <v>221</v>
      </c>
    </row>
    <row r="43" spans="2:3" ht="91.5" customHeight="1" x14ac:dyDescent="0.2">
      <c r="B43" s="235" t="s">
        <v>59</v>
      </c>
      <c r="C43" s="233" t="s">
        <v>222</v>
      </c>
    </row>
    <row r="44" spans="2:3" ht="96.75" customHeight="1" x14ac:dyDescent="0.2">
      <c r="B44" s="235" t="s">
        <v>56</v>
      </c>
      <c r="C44" s="233" t="s">
        <v>223</v>
      </c>
    </row>
    <row r="46" spans="2:3" ht="12" x14ac:dyDescent="0.25">
      <c r="B46" s="231" t="s">
        <v>201</v>
      </c>
    </row>
    <row r="48" spans="2:3" ht="45.6" x14ac:dyDescent="0.2">
      <c r="B48" s="233" t="s">
        <v>224</v>
      </c>
    </row>
    <row r="50" spans="2:3" ht="12" x14ac:dyDescent="0.25">
      <c r="B50" s="231" t="s">
        <v>60</v>
      </c>
    </row>
    <row r="52" spans="2:3" ht="22.8" x14ac:dyDescent="0.2">
      <c r="B52" s="235" t="s">
        <v>62</v>
      </c>
      <c r="C52" s="233" t="s">
        <v>225</v>
      </c>
    </row>
    <row r="53" spans="2:3" ht="22.8" x14ac:dyDescent="0.2">
      <c r="B53" s="235" t="s">
        <v>63</v>
      </c>
      <c r="C53" s="233" t="s">
        <v>226</v>
      </c>
    </row>
    <row r="54" spans="2:3" ht="22.8" x14ac:dyDescent="0.2">
      <c r="B54" s="235" t="s">
        <v>78</v>
      </c>
      <c r="C54" s="233" t="s">
        <v>226</v>
      </c>
    </row>
    <row r="55" spans="2:3" ht="22.8" x14ac:dyDescent="0.2">
      <c r="B55" s="235" t="s">
        <v>64</v>
      </c>
      <c r="C55" s="233" t="s">
        <v>226</v>
      </c>
    </row>
    <row r="56" spans="2:3" ht="22.8" x14ac:dyDescent="0.2">
      <c r="B56" s="235" t="s">
        <v>65</v>
      </c>
      <c r="C56" s="233" t="s">
        <v>226</v>
      </c>
    </row>
    <row r="57" spans="2:3" ht="22.8" x14ac:dyDescent="0.2">
      <c r="B57" s="235" t="s">
        <v>66</v>
      </c>
      <c r="C57" s="233" t="s">
        <v>226</v>
      </c>
    </row>
    <row r="58" spans="2:3" ht="22.8" x14ac:dyDescent="0.2">
      <c r="B58" s="235" t="s">
        <v>67</v>
      </c>
      <c r="C58" s="233" t="s">
        <v>226</v>
      </c>
    </row>
    <row r="59" spans="2:3" ht="22.8" x14ac:dyDescent="0.2">
      <c r="B59" s="235" t="s">
        <v>74</v>
      </c>
      <c r="C59" s="233" t="s">
        <v>226</v>
      </c>
    </row>
    <row r="60" spans="2:3" ht="22.8" x14ac:dyDescent="0.2">
      <c r="B60" s="235" t="s">
        <v>75</v>
      </c>
      <c r="C60" s="233" t="s">
        <v>226</v>
      </c>
    </row>
    <row r="61" spans="2:3" ht="34.200000000000003" x14ac:dyDescent="0.2">
      <c r="B61" s="235" t="s">
        <v>76</v>
      </c>
      <c r="C61" s="233" t="s">
        <v>227</v>
      </c>
    </row>
    <row r="63" spans="2:3" ht="12" x14ac:dyDescent="0.25">
      <c r="B63" s="231" t="s">
        <v>108</v>
      </c>
    </row>
    <row r="65" spans="2:3" ht="34.200000000000003" x14ac:dyDescent="0.2">
      <c r="B65" s="235" t="s">
        <v>93</v>
      </c>
      <c r="C65" s="233" t="s">
        <v>228</v>
      </c>
    </row>
    <row r="66" spans="2:3" ht="34.200000000000003" x14ac:dyDescent="0.2">
      <c r="B66" s="235" t="s">
        <v>72</v>
      </c>
      <c r="C66" s="233" t="s">
        <v>229</v>
      </c>
    </row>
    <row r="67" spans="2:3" ht="34.200000000000003" x14ac:dyDescent="0.2">
      <c r="B67" s="235" t="s">
        <v>71</v>
      </c>
      <c r="C67" s="233" t="s">
        <v>230</v>
      </c>
    </row>
    <row r="68" spans="2:3" ht="34.200000000000003" x14ac:dyDescent="0.2">
      <c r="B68" s="235" t="s">
        <v>69</v>
      </c>
      <c r="C68" s="233" t="s">
        <v>231</v>
      </c>
    </row>
    <row r="69" spans="2:3" ht="34.200000000000003" x14ac:dyDescent="0.2">
      <c r="B69" s="235" t="s">
        <v>70</v>
      </c>
      <c r="C69" s="233" t="s">
        <v>232</v>
      </c>
    </row>
    <row r="70" spans="2:3" ht="34.200000000000003" x14ac:dyDescent="0.2">
      <c r="B70" s="235" t="s">
        <v>80</v>
      </c>
      <c r="C70" s="233" t="s">
        <v>233</v>
      </c>
    </row>
    <row r="71" spans="2:3" ht="34.200000000000003" x14ac:dyDescent="0.2">
      <c r="B71" s="235" t="s">
        <v>208</v>
      </c>
      <c r="C71" s="233" t="s">
        <v>234</v>
      </c>
    </row>
    <row r="73" spans="2:3" ht="12" x14ac:dyDescent="0.25">
      <c r="B73" s="231" t="s">
        <v>81</v>
      </c>
    </row>
    <row r="75" spans="2:3" ht="22.8" x14ac:dyDescent="0.2">
      <c r="B75" s="235" t="s">
        <v>82</v>
      </c>
      <c r="C75" s="233" t="s">
        <v>235</v>
      </c>
    </row>
    <row r="76" spans="2:3" ht="22.8" x14ac:dyDescent="0.2">
      <c r="B76" s="235" t="s">
        <v>83</v>
      </c>
      <c r="C76" s="233" t="s">
        <v>236</v>
      </c>
    </row>
    <row r="77" spans="2:3" ht="22.8" x14ac:dyDescent="0.2">
      <c r="B77" s="235" t="s">
        <v>84</v>
      </c>
      <c r="C77" s="233" t="s">
        <v>239</v>
      </c>
    </row>
    <row r="78" spans="2:3" ht="22.8" x14ac:dyDescent="0.2">
      <c r="B78" s="235" t="s">
        <v>85</v>
      </c>
      <c r="C78" s="233" t="s">
        <v>238</v>
      </c>
    </row>
    <row r="79" spans="2:3" x14ac:dyDescent="0.2">
      <c r="B79" s="235" t="s">
        <v>86</v>
      </c>
      <c r="C79" s="233" t="s">
        <v>237</v>
      </c>
    </row>
    <row r="82" spans="2:5" ht="12" x14ac:dyDescent="0.25">
      <c r="B82" s="237" t="s">
        <v>107</v>
      </c>
    </row>
    <row r="84" spans="2:5" ht="22.8" x14ac:dyDescent="0.2">
      <c r="B84" s="235" t="s">
        <v>240</v>
      </c>
      <c r="C84" s="233" t="s">
        <v>246</v>
      </c>
    </row>
    <row r="85" spans="2:5" ht="22.8" x14ac:dyDescent="0.2">
      <c r="B85" s="235" t="s">
        <v>241</v>
      </c>
      <c r="C85" s="233" t="s">
        <v>242</v>
      </c>
    </row>
    <row r="86" spans="2:5" x14ac:dyDescent="0.2">
      <c r="B86" s="235" t="s">
        <v>243</v>
      </c>
      <c r="C86" s="233" t="s">
        <v>244</v>
      </c>
    </row>
    <row r="87" spans="2:5" x14ac:dyDescent="0.2">
      <c r="B87" s="235" t="s">
        <v>245</v>
      </c>
      <c r="C87" s="233" t="s">
        <v>244</v>
      </c>
    </row>
    <row r="88" spans="2:5" ht="56.25" customHeight="1" x14ac:dyDescent="0.2">
      <c r="B88" s="235" t="s">
        <v>132</v>
      </c>
      <c r="C88" s="233" t="s">
        <v>247</v>
      </c>
    </row>
    <row r="89" spans="2:5" ht="48" customHeight="1" x14ac:dyDescent="0.2">
      <c r="B89" s="235" t="s">
        <v>135</v>
      </c>
      <c r="C89" s="233" t="s">
        <v>248</v>
      </c>
    </row>
    <row r="92" spans="2:5" ht="12" x14ac:dyDescent="0.25">
      <c r="B92" s="237" t="s">
        <v>170</v>
      </c>
    </row>
    <row r="94" spans="2:5" ht="22.8" x14ac:dyDescent="0.2">
      <c r="B94" s="235" t="s">
        <v>180</v>
      </c>
      <c r="C94" s="233" t="s">
        <v>252</v>
      </c>
      <c r="E94" s="233"/>
    </row>
    <row r="95" spans="2:5" ht="22.8" x14ac:dyDescent="0.2">
      <c r="B95" s="235" t="s">
        <v>249</v>
      </c>
      <c r="C95" s="233" t="s">
        <v>253</v>
      </c>
      <c r="D95" s="233"/>
      <c r="E95" s="233"/>
    </row>
    <row r="96" spans="2:5" ht="22.8" x14ac:dyDescent="0.2">
      <c r="B96" s="235" t="s">
        <v>250</v>
      </c>
      <c r="C96" s="233" t="s">
        <v>254</v>
      </c>
    </row>
    <row r="97" spans="2:3" x14ac:dyDescent="0.2">
      <c r="B97" s="235" t="s">
        <v>251</v>
      </c>
      <c r="C97" s="233" t="s">
        <v>255</v>
      </c>
    </row>
  </sheetData>
  <mergeCells count="1">
    <mergeCell ref="B16:P16"/>
  </mergeCells>
  <phoneticPr fontId="11"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59999389629810485"/>
  </sheetPr>
  <dimension ref="A1:I42"/>
  <sheetViews>
    <sheetView showGridLines="0" workbookViewId="0">
      <pane xSplit="1" ySplit="2" topLeftCell="B4" activePane="bottomRight" state="frozen"/>
      <selection pane="topRight" activeCell="B1" sqref="B1"/>
      <selection pane="bottomLeft" activeCell="A5" sqref="A5"/>
      <selection pane="bottomRight" activeCell="N37" sqref="N37"/>
    </sheetView>
  </sheetViews>
  <sheetFormatPr defaultColWidth="8.875" defaultRowHeight="11.4" x14ac:dyDescent="0.2"/>
  <cols>
    <col min="1" max="1" width="59.25" style="90" customWidth="1"/>
    <col min="2" max="4" width="20.75" style="90" customWidth="1"/>
    <col min="5" max="5" width="47.875" style="90" customWidth="1"/>
    <col min="6" max="8" width="20.75" style="90" customWidth="1"/>
    <col min="9" max="9" width="20.875" style="90" customWidth="1"/>
    <col min="10" max="16384" width="8.875" style="90"/>
  </cols>
  <sheetData>
    <row r="1" spans="1:9" s="131" customFormat="1" ht="12.6" thickBot="1" x14ac:dyDescent="0.3">
      <c r="A1" s="130" t="s">
        <v>61</v>
      </c>
    </row>
    <row r="2" spans="1:9" ht="5.0999999999999996" customHeight="1" thickTop="1" x14ac:dyDescent="0.25">
      <c r="A2" s="128"/>
      <c r="B2" s="129"/>
      <c r="C2" s="129"/>
      <c r="D2" s="129"/>
      <c r="E2" s="129"/>
      <c r="F2" s="129"/>
      <c r="G2" s="129"/>
    </row>
    <row r="3" spans="1:9" ht="5.0999999999999996" customHeight="1" thickBot="1" x14ac:dyDescent="0.3">
      <c r="A3" s="128"/>
      <c r="B3" s="132"/>
      <c r="C3" s="132"/>
      <c r="D3" s="132"/>
      <c r="E3" s="132"/>
      <c r="F3" s="132"/>
    </row>
    <row r="4" spans="1:9" ht="15" customHeight="1" thickTop="1" thickBot="1" x14ac:dyDescent="0.3">
      <c r="A4" s="127" t="s">
        <v>60</v>
      </c>
      <c r="B4" s="138">
        <f>2021</f>
        <v>2021</v>
      </c>
      <c r="C4" s="138">
        <f>B4+1</f>
        <v>2022</v>
      </c>
      <c r="D4" s="138">
        <f>C4+1</f>
        <v>2023</v>
      </c>
      <c r="E4" s="138">
        <f>D4+1</f>
        <v>2024</v>
      </c>
      <c r="F4" s="138">
        <f>E4+1</f>
        <v>2025</v>
      </c>
      <c r="G4" s="138">
        <f>F4+1</f>
        <v>2026</v>
      </c>
      <c r="I4" s="138" t="s">
        <v>105</v>
      </c>
    </row>
    <row r="5" spans="1:9" ht="5.0999999999999996" customHeight="1" thickTop="1" x14ac:dyDescent="0.25">
      <c r="A5" s="128"/>
      <c r="B5" s="132"/>
      <c r="C5" s="132"/>
      <c r="D5" s="132"/>
      <c r="E5" s="132"/>
      <c r="F5" s="132"/>
      <c r="G5" s="132"/>
    </row>
    <row r="6" spans="1:9" ht="15" customHeight="1" thickBot="1" x14ac:dyDescent="0.25">
      <c r="A6" s="142" t="s">
        <v>62</v>
      </c>
      <c r="B6" s="145">
        <v>0</v>
      </c>
      <c r="C6" s="206">
        <f>I6*('4.Personnel'!D6+'4.Personnel'!D16+'4.Personnel'!D26+'4.Personnel'!D36+'4.Personnel'!D46+'4.Personnel'!D56+'4.Personnel'!D66)</f>
        <v>36400</v>
      </c>
      <c r="D6" s="146">
        <v>0</v>
      </c>
      <c r="E6" s="206">
        <f>D6</f>
        <v>0</v>
      </c>
      <c r="F6" s="206">
        <f>E6</f>
        <v>0</v>
      </c>
      <c r="G6" s="206">
        <f>F6</f>
        <v>0</v>
      </c>
      <c r="I6" s="145">
        <v>700</v>
      </c>
    </row>
    <row r="7" spans="1:9" ht="15" customHeight="1" thickTop="1" thickBot="1" x14ac:dyDescent="0.25">
      <c r="A7" s="144" t="s">
        <v>63</v>
      </c>
      <c r="B7" s="145">
        <v>0</v>
      </c>
      <c r="C7" s="145">
        <v>0</v>
      </c>
      <c r="D7" s="132">
        <f>$I$7*'1.Revenues and Costs of Sales'!E35</f>
        <v>8276.3830721210998</v>
      </c>
      <c r="E7" s="132">
        <f>$I$7*'1.Revenues and Costs of Sales'!F35</f>
        <v>18901.425059499994</v>
      </c>
      <c r="F7" s="132">
        <f>$I$7*'1.Revenues and Costs of Sales'!G35</f>
        <v>28564.164876089348</v>
      </c>
      <c r="G7" s="132">
        <f>$I$7*'1.Revenues and Costs of Sales'!H35</f>
        <v>39404.824462473945</v>
      </c>
      <c r="I7" s="185">
        <v>1E-4</v>
      </c>
    </row>
    <row r="8" spans="1:9" ht="15" customHeight="1" thickTop="1" thickBot="1" x14ac:dyDescent="0.25">
      <c r="A8" s="144" t="s">
        <v>78</v>
      </c>
      <c r="B8" s="145">
        <v>0</v>
      </c>
      <c r="C8" s="206">
        <f>$I$8*'1.Revenues and Costs of Sales'!D35</f>
        <v>439554.18860730052</v>
      </c>
      <c r="D8" s="206">
        <f>$I$8*'1.Revenues and Costs of Sales'!E35</f>
        <v>2292558.1109775444</v>
      </c>
      <c r="E8" s="206">
        <f>$I$8*'1.Revenues and Costs of Sales'!F35</f>
        <v>5235694.7414814979</v>
      </c>
      <c r="F8" s="206">
        <f>$I$8*'1.Revenues and Costs of Sales'!G35</f>
        <v>7912273.6706767483</v>
      </c>
      <c r="G8" s="206">
        <f>$I$8*'1.Revenues and Costs of Sales'!H35</f>
        <v>10915136.376105281</v>
      </c>
      <c r="I8" s="185">
        <v>2.7699999999999999E-2</v>
      </c>
    </row>
    <row r="9" spans="1:9" ht="15" customHeight="1" thickTop="1" thickBot="1" x14ac:dyDescent="0.25">
      <c r="A9" s="144" t="s">
        <v>64</v>
      </c>
      <c r="B9" s="145">
        <v>0</v>
      </c>
      <c r="C9" s="145">
        <v>0</v>
      </c>
      <c r="D9" s="132">
        <f>$I$9*'1.Revenues and Costs of Sales'!E35</f>
        <v>8276.3830721210998</v>
      </c>
      <c r="E9" s="132">
        <f>$I$9*'1.Revenues and Costs of Sales'!F35</f>
        <v>18901.425059499994</v>
      </c>
      <c r="F9" s="132">
        <f>$I$9*'1.Revenues and Costs of Sales'!G35</f>
        <v>28564.164876089348</v>
      </c>
      <c r="G9" s="132">
        <f>$I$9*'1.Revenues and Costs of Sales'!H35</f>
        <v>39404.824462473945</v>
      </c>
      <c r="I9" s="185">
        <v>1E-4</v>
      </c>
    </row>
    <row r="10" spans="1:9" ht="15" customHeight="1" thickTop="1" thickBot="1" x14ac:dyDescent="0.25">
      <c r="A10" s="144" t="s">
        <v>65</v>
      </c>
      <c r="B10" s="145">
        <v>3000</v>
      </c>
      <c r="C10" s="206">
        <f>$I$10*'1.Revenues and Costs of Sales'!D35</f>
        <v>15868.382260191354</v>
      </c>
      <c r="D10" s="206">
        <f>$I$10*'1.Revenues and Costs of Sales'!E35</f>
        <v>82763.830721210994</v>
      </c>
      <c r="E10" s="206">
        <f>$I$10*'1.Revenues and Costs of Sales'!F35</f>
        <v>189014.25059499993</v>
      </c>
      <c r="F10" s="206">
        <f>$I$10*'1.Revenues and Costs of Sales'!G35</f>
        <v>285641.6487608935</v>
      </c>
      <c r="G10" s="206">
        <f>$I$10*'1.Revenues and Costs of Sales'!H35</f>
        <v>394048.2446247394</v>
      </c>
      <c r="I10" s="185">
        <v>1E-3</v>
      </c>
    </row>
    <row r="11" spans="1:9" ht="15" customHeight="1" thickTop="1" thickBot="1" x14ac:dyDescent="0.25">
      <c r="A11" s="144" t="s">
        <v>66</v>
      </c>
      <c r="B11" s="145">
        <v>0</v>
      </c>
      <c r="C11" s="206">
        <f>$I$11*'1.Revenues and Costs of Sales'!D35</f>
        <v>15868.382260191354</v>
      </c>
      <c r="D11" s="206">
        <f>$I$11*'1.Revenues and Costs of Sales'!E35</f>
        <v>82763.830721210994</v>
      </c>
      <c r="E11" s="206">
        <f>$I$11*'1.Revenues and Costs of Sales'!F35</f>
        <v>189014.25059499993</v>
      </c>
      <c r="F11" s="206">
        <f>$I$11*'1.Revenues and Costs of Sales'!G35</f>
        <v>285641.6487608935</v>
      </c>
      <c r="G11" s="206">
        <f>$I$11*'1.Revenues and Costs of Sales'!H35</f>
        <v>394048.2446247394</v>
      </c>
      <c r="H11" s="126"/>
      <c r="I11" s="185">
        <v>1E-3</v>
      </c>
    </row>
    <row r="12" spans="1:9" ht="15" customHeight="1" thickTop="1" thickBot="1" x14ac:dyDescent="0.25">
      <c r="A12" s="144" t="s">
        <v>67</v>
      </c>
      <c r="B12" s="145">
        <v>0</v>
      </c>
      <c r="C12" s="206">
        <f>$I$12*'1.Revenues and Costs of Sales'!D35</f>
        <v>79341.911300956781</v>
      </c>
      <c r="D12" s="206">
        <f>$I$12*'1.Revenues and Costs of Sales'!E35</f>
        <v>413819.15360605496</v>
      </c>
      <c r="E12" s="206">
        <f>$I$12*'1.Revenues and Costs of Sales'!F35</f>
        <v>945071.25297499972</v>
      </c>
      <c r="F12" s="206">
        <f>$I$12*'1.Revenues and Costs of Sales'!G35</f>
        <v>1428208.2438044674</v>
      </c>
      <c r="G12" s="206">
        <f>$I$12*'1.Revenues and Costs of Sales'!H35</f>
        <v>1970241.2231236971</v>
      </c>
      <c r="I12" s="185">
        <v>5.0000000000000001E-3</v>
      </c>
    </row>
    <row r="13" spans="1:9" ht="15" customHeight="1" thickTop="1" thickBot="1" x14ac:dyDescent="0.25">
      <c r="A13" s="144" t="s">
        <v>74</v>
      </c>
      <c r="B13" s="145">
        <v>15000</v>
      </c>
      <c r="C13" s="206">
        <f>$I$13*'1.Revenues and Costs of Sales'!D35</f>
        <v>158683.82260191356</v>
      </c>
      <c r="D13" s="206">
        <f>$I$13*'1.Revenues and Costs of Sales'!E35</f>
        <v>827638.30721210991</v>
      </c>
      <c r="E13" s="206">
        <f>$I$13*'1.Revenues and Costs of Sales'!F35</f>
        <v>1890142.5059499994</v>
      </c>
      <c r="F13" s="206">
        <f>$I$13*'1.Revenues and Costs of Sales'!G35</f>
        <v>2856416.4876089348</v>
      </c>
      <c r="G13" s="206">
        <f>$I$13*'1.Revenues and Costs of Sales'!H35</f>
        <v>3940482.4462473942</v>
      </c>
      <c r="I13" s="185">
        <v>0.01</v>
      </c>
    </row>
    <row r="14" spans="1:9" ht="15" customHeight="1" thickTop="1" thickBot="1" x14ac:dyDescent="0.25">
      <c r="A14" s="144" t="s">
        <v>75</v>
      </c>
      <c r="B14" s="145">
        <v>0</v>
      </c>
      <c r="C14" s="206">
        <f>$I$14*'1.Revenues and Costs of Sales'!D35</f>
        <v>364972.79198440118</v>
      </c>
      <c r="D14" s="206">
        <f>$I$14*'1.Revenues and Costs of Sales'!E35</f>
        <v>1903568.1065878526</v>
      </c>
      <c r="E14" s="206">
        <f>$I$14*'1.Revenues and Costs of Sales'!F35</f>
        <v>4347327.7636849983</v>
      </c>
      <c r="F14" s="206">
        <f>$I$14*'1.Revenues and Costs of Sales'!G35</f>
        <v>6569757.9215005497</v>
      </c>
      <c r="G14" s="206">
        <f>$I$14*'1.Revenues and Costs of Sales'!H35</f>
        <v>9063109.6263690069</v>
      </c>
      <c r="I14" s="185">
        <v>2.3E-2</v>
      </c>
    </row>
    <row r="15" spans="1:9" ht="15" customHeight="1" thickTop="1" thickBot="1" x14ac:dyDescent="0.25">
      <c r="A15" s="143" t="s">
        <v>76</v>
      </c>
      <c r="B15" s="145">
        <v>5000</v>
      </c>
      <c r="C15" s="206">
        <f>$I$15*'1.Revenues and Costs of Sales'!D35</f>
        <v>317367.64520382712</v>
      </c>
      <c r="D15" s="206">
        <f>$I$15*'1.Revenues and Costs of Sales'!E35</f>
        <v>1655276.6144242198</v>
      </c>
      <c r="E15" s="206">
        <f>$I$15*'1.Revenues and Costs of Sales'!F35</f>
        <v>3780285.0118999989</v>
      </c>
      <c r="F15" s="132">
        <v>0</v>
      </c>
      <c r="G15" s="132">
        <v>0</v>
      </c>
      <c r="I15" s="185">
        <v>0.02</v>
      </c>
    </row>
    <row r="16" spans="1:9" ht="15" customHeight="1" thickTop="1" x14ac:dyDescent="0.2"/>
    <row r="35" spans="1:6" x14ac:dyDescent="0.2">
      <c r="A35" s="90" t="s">
        <v>378</v>
      </c>
      <c r="B35" s="311">
        <f>'1.Revenues and Costs of Sales'!C51</f>
        <v>900000</v>
      </c>
      <c r="E35" s="90" t="s">
        <v>378</v>
      </c>
      <c r="F35" s="312">
        <f>B35/$B$42</f>
        <v>0.64516129032258063</v>
      </c>
    </row>
    <row r="36" spans="1:6" x14ac:dyDescent="0.2">
      <c r="A36" s="90" t="s">
        <v>379</v>
      </c>
      <c r="B36" s="311">
        <f>'1.Revenues and Costs of Sales'!C48</f>
        <v>100000</v>
      </c>
      <c r="E36" s="90" t="s">
        <v>379</v>
      </c>
      <c r="F36" s="312">
        <f t="shared" ref="F36:F41" si="0">B36/$B$42</f>
        <v>7.1684587813620068E-2</v>
      </c>
    </row>
    <row r="37" spans="1:6" x14ac:dyDescent="0.2">
      <c r="A37" s="90" t="s">
        <v>380</v>
      </c>
      <c r="B37" s="311">
        <f>'1.Revenues and Costs of Sales'!C50</f>
        <v>120000</v>
      </c>
      <c r="E37" s="90" t="s">
        <v>380</v>
      </c>
      <c r="F37" s="312">
        <f t="shared" si="0"/>
        <v>8.6021505376344093E-2</v>
      </c>
    </row>
    <row r="38" spans="1:6" x14ac:dyDescent="0.2">
      <c r="A38" s="310" t="s">
        <v>374</v>
      </c>
      <c r="B38" s="311">
        <f>'4.Personnel'!C13</f>
        <v>30000</v>
      </c>
      <c r="E38" s="310" t="s">
        <v>374</v>
      </c>
      <c r="F38" s="312">
        <f t="shared" si="0"/>
        <v>2.1505376344086023E-2</v>
      </c>
    </row>
    <row r="39" spans="1:6" x14ac:dyDescent="0.2">
      <c r="A39" s="310" t="s">
        <v>375</v>
      </c>
      <c r="B39" s="311">
        <f>'2.Launch costs'!B11+'2.Launch costs'!B4</f>
        <v>95000</v>
      </c>
      <c r="E39" s="310" t="s">
        <v>375</v>
      </c>
      <c r="F39" s="312">
        <f t="shared" si="0"/>
        <v>6.8100358422939072E-2</v>
      </c>
    </row>
    <row r="40" spans="1:6" x14ac:dyDescent="0.2">
      <c r="A40" s="310" t="s">
        <v>376</v>
      </c>
      <c r="B40" s="311">
        <f>'2.Launch costs'!B8+'2.Launch costs'!B7+'2.Launch costs'!B6+'2.Launch costs'!B5</f>
        <v>130000</v>
      </c>
      <c r="E40" s="310" t="s">
        <v>376</v>
      </c>
      <c r="F40" s="312">
        <f t="shared" si="0"/>
        <v>9.3189964157706098E-2</v>
      </c>
    </row>
    <row r="41" spans="1:6" x14ac:dyDescent="0.2">
      <c r="A41" s="310" t="s">
        <v>377</v>
      </c>
      <c r="B41" s="311">
        <f>'2.Launch costs'!B9+'2.Launch costs'!B10</f>
        <v>20000</v>
      </c>
      <c r="E41" s="310" t="s">
        <v>377</v>
      </c>
      <c r="F41" s="312">
        <f t="shared" si="0"/>
        <v>1.4336917562724014E-2</v>
      </c>
    </row>
    <row r="42" spans="1:6" x14ac:dyDescent="0.2">
      <c r="B42" s="311">
        <f>SUM(B35:B41)</f>
        <v>1395000</v>
      </c>
    </row>
  </sheetData>
  <phoneticPr fontId="11" type="noConversion"/>
  <pageMargins left="0.7" right="0.7" top="0.75" bottom="0.75" header="0.3" footer="0.3"/>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59999389629810485"/>
  </sheetPr>
  <dimension ref="A2:K81"/>
  <sheetViews>
    <sheetView showGridLines="0" workbookViewId="0">
      <selection activeCell="B46" sqref="B46"/>
    </sheetView>
  </sheetViews>
  <sheetFormatPr defaultColWidth="9.125" defaultRowHeight="11.4" x14ac:dyDescent="0.2"/>
  <cols>
    <col min="1" max="1" width="20.75" style="186" customWidth="1"/>
    <col min="2" max="2" width="25.75" style="186" customWidth="1"/>
    <col min="3" max="11" width="20.75" style="186" customWidth="1"/>
    <col min="12" max="16384" width="9.125" style="186"/>
  </cols>
  <sheetData>
    <row r="2" spans="1:9" ht="12" x14ac:dyDescent="0.25">
      <c r="B2" s="187" t="s">
        <v>73</v>
      </c>
      <c r="C2" s="188">
        <v>2021</v>
      </c>
      <c r="D2" s="188">
        <f>C2+1</f>
        <v>2022</v>
      </c>
      <c r="E2" s="188">
        <f>D2+1</f>
        <v>2023</v>
      </c>
      <c r="F2" s="188">
        <f>E2+1</f>
        <v>2024</v>
      </c>
      <c r="G2" s="188">
        <f>F2+1</f>
        <v>2025</v>
      </c>
      <c r="H2" s="188">
        <f>G2+1</f>
        <v>2026</v>
      </c>
    </row>
    <row r="3" spans="1:9" ht="3" customHeight="1" x14ac:dyDescent="0.2">
      <c r="B3" s="189"/>
      <c r="C3" s="189"/>
      <c r="D3" s="189"/>
      <c r="E3" s="189"/>
      <c r="F3" s="189"/>
      <c r="G3" s="189"/>
      <c r="H3" s="189"/>
    </row>
    <row r="4" spans="1:9" ht="3" customHeight="1" x14ac:dyDescent="0.2"/>
    <row r="5" spans="1:9" ht="12" x14ac:dyDescent="0.25">
      <c r="B5" s="190" t="s">
        <v>93</v>
      </c>
    </row>
    <row r="6" spans="1:9" x14ac:dyDescent="0.2">
      <c r="B6" s="186" t="s">
        <v>68</v>
      </c>
      <c r="C6" s="192">
        <v>1</v>
      </c>
      <c r="D6" s="192">
        <v>3</v>
      </c>
      <c r="E6" s="205">
        <f>ROUNDUP(D6*'1.Revenues and Costs of Sales'!$K$49,0)</f>
        <v>5</v>
      </c>
      <c r="F6" s="205">
        <f>ROUNDUP(E6*'1.Revenues and Costs of Sales'!$K$49,0)</f>
        <v>8</v>
      </c>
      <c r="G6" s="205">
        <f>ROUNDUP(F6*'1.Revenues and Costs of Sales'!$K$49,0)</f>
        <v>12</v>
      </c>
      <c r="H6" s="205">
        <f>ROUNDUP(G6*'1.Revenues and Costs of Sales'!$K$49,0)</f>
        <v>18</v>
      </c>
      <c r="I6" s="186" t="s">
        <v>79</v>
      </c>
    </row>
    <row r="7" spans="1:9" ht="12" thickBot="1" x14ac:dyDescent="0.25">
      <c r="B7" s="186" t="s">
        <v>89</v>
      </c>
      <c r="C7" s="194">
        <v>30000</v>
      </c>
      <c r="D7" s="194">
        <v>50000</v>
      </c>
      <c r="E7" s="204">
        <f>D7</f>
        <v>50000</v>
      </c>
      <c r="F7" s="204">
        <f>E7</f>
        <v>50000</v>
      </c>
      <c r="G7" s="204">
        <f>F7</f>
        <v>50000</v>
      </c>
      <c r="H7" s="204">
        <f>G7</f>
        <v>50000</v>
      </c>
    </row>
    <row r="8" spans="1:9" ht="12" thickBot="1" x14ac:dyDescent="0.25">
      <c r="A8" s="195">
        <v>1.4830000000000001</v>
      </c>
      <c r="B8" s="196" t="s">
        <v>90</v>
      </c>
      <c r="C8" s="197">
        <f t="shared" ref="C8:H8" si="0">C7/$A$8</f>
        <v>20229.265003371544</v>
      </c>
      <c r="D8" s="197">
        <f t="shared" si="0"/>
        <v>33715.441672285902</v>
      </c>
      <c r="E8" s="197">
        <f t="shared" si="0"/>
        <v>33715.441672285902</v>
      </c>
      <c r="F8" s="197">
        <f t="shared" si="0"/>
        <v>33715.441672285902</v>
      </c>
      <c r="G8" s="197">
        <f t="shared" si="0"/>
        <v>33715.441672285902</v>
      </c>
      <c r="H8" s="197">
        <f t="shared" si="0"/>
        <v>33715.441672285902</v>
      </c>
    </row>
    <row r="9" spans="1:9" ht="12" thickBot="1" x14ac:dyDescent="0.25">
      <c r="A9" s="198">
        <v>13.5</v>
      </c>
      <c r="B9" s="196" t="s">
        <v>91</v>
      </c>
      <c r="C9" s="197">
        <f t="shared" ref="C9:H9" si="1">C8/$A$9</f>
        <v>1498.4640743238181</v>
      </c>
      <c r="D9" s="197">
        <f t="shared" si="1"/>
        <v>2497.4401238730297</v>
      </c>
      <c r="E9" s="197">
        <f t="shared" si="1"/>
        <v>2497.4401238730297</v>
      </c>
      <c r="F9" s="197">
        <f t="shared" si="1"/>
        <v>2497.4401238730297</v>
      </c>
      <c r="G9" s="197">
        <f t="shared" si="1"/>
        <v>2497.4401238730297</v>
      </c>
      <c r="H9" s="197">
        <f t="shared" si="1"/>
        <v>2497.4401238730297</v>
      </c>
    </row>
    <row r="10" spans="1:9" x14ac:dyDescent="0.2">
      <c r="B10" s="196" t="s">
        <v>92</v>
      </c>
      <c r="C10" s="197">
        <f t="shared" ref="C10:H10" si="2">C7-C8-C9</f>
        <v>8272.2709223046386</v>
      </c>
      <c r="D10" s="197">
        <f t="shared" si="2"/>
        <v>13787.118203841068</v>
      </c>
      <c r="E10" s="197">
        <f t="shared" si="2"/>
        <v>13787.118203841068</v>
      </c>
      <c r="F10" s="197">
        <f t="shared" si="2"/>
        <v>13787.118203841068</v>
      </c>
      <c r="G10" s="197">
        <f t="shared" si="2"/>
        <v>13787.118203841068</v>
      </c>
      <c r="H10" s="197">
        <f t="shared" si="2"/>
        <v>13787.118203841068</v>
      </c>
    </row>
    <row r="11" spans="1:9" ht="3" customHeight="1" x14ac:dyDescent="0.2">
      <c r="B11" s="189"/>
      <c r="C11" s="189"/>
      <c r="D11" s="189"/>
      <c r="E11" s="189"/>
      <c r="F11" s="189"/>
      <c r="G11" s="189"/>
      <c r="H11" s="189"/>
    </row>
    <row r="12" spans="1:9" ht="3" customHeight="1" x14ac:dyDescent="0.2"/>
    <row r="13" spans="1:9" ht="12" x14ac:dyDescent="0.25">
      <c r="B13" s="199" t="s">
        <v>99</v>
      </c>
      <c r="C13" s="200">
        <f t="shared" ref="C13:H13" si="3">C7*C6</f>
        <v>30000</v>
      </c>
      <c r="D13" s="200">
        <f t="shared" si="3"/>
        <v>150000</v>
      </c>
      <c r="E13" s="200">
        <f t="shared" si="3"/>
        <v>250000</v>
      </c>
      <c r="F13" s="200">
        <f t="shared" si="3"/>
        <v>400000</v>
      </c>
      <c r="G13" s="200">
        <f t="shared" si="3"/>
        <v>600000</v>
      </c>
      <c r="H13" s="200">
        <f t="shared" si="3"/>
        <v>900000</v>
      </c>
    </row>
    <row r="15" spans="1:9" ht="12" x14ac:dyDescent="0.25">
      <c r="B15" s="190" t="s">
        <v>72</v>
      </c>
    </row>
    <row r="16" spans="1:9" x14ac:dyDescent="0.2">
      <c r="B16" s="186" t="s">
        <v>68</v>
      </c>
      <c r="C16" s="192">
        <v>0</v>
      </c>
      <c r="D16" s="192">
        <v>15</v>
      </c>
      <c r="E16" s="205">
        <f>ROUNDUP(D16*'1.Revenues and Costs of Sales'!$K$49,0)</f>
        <v>23</v>
      </c>
      <c r="F16" s="205">
        <f>ROUNDUP(E16*'1.Revenues and Costs of Sales'!$K$49,0)</f>
        <v>35</v>
      </c>
      <c r="G16" s="205">
        <f>ROUNDUP(F16*'1.Revenues and Costs of Sales'!$K$49,0)</f>
        <v>53</v>
      </c>
      <c r="H16" s="205">
        <f>ROUNDUP(G16*'1.Revenues and Costs of Sales'!$K$49,0)</f>
        <v>80</v>
      </c>
    </row>
    <row r="17" spans="2:11" x14ac:dyDescent="0.2">
      <c r="B17" s="186" t="s">
        <v>89</v>
      </c>
      <c r="C17" s="194">
        <v>0</v>
      </c>
      <c r="D17" s="194">
        <v>35000</v>
      </c>
      <c r="E17" s="204">
        <f>D17</f>
        <v>35000</v>
      </c>
      <c r="F17" s="204">
        <f>E17</f>
        <v>35000</v>
      </c>
      <c r="G17" s="204">
        <f>F17</f>
        <v>35000</v>
      </c>
      <c r="H17" s="204">
        <f>G17</f>
        <v>35000</v>
      </c>
    </row>
    <row r="18" spans="2:11" x14ac:dyDescent="0.2">
      <c r="B18" s="196" t="s">
        <v>90</v>
      </c>
      <c r="C18" s="197">
        <f t="shared" ref="C18:H18" si="4">C17/$A$8</f>
        <v>0</v>
      </c>
      <c r="D18" s="197">
        <f t="shared" si="4"/>
        <v>23600.809170600132</v>
      </c>
      <c r="E18" s="197">
        <f t="shared" si="4"/>
        <v>23600.809170600132</v>
      </c>
      <c r="F18" s="197">
        <f t="shared" si="4"/>
        <v>23600.809170600132</v>
      </c>
      <c r="G18" s="197">
        <f t="shared" si="4"/>
        <v>23600.809170600132</v>
      </c>
      <c r="H18" s="197">
        <f t="shared" si="4"/>
        <v>23600.809170600132</v>
      </c>
    </row>
    <row r="19" spans="2:11" x14ac:dyDescent="0.2">
      <c r="B19" s="196" t="s">
        <v>91</v>
      </c>
      <c r="C19" s="197">
        <f t="shared" ref="C19:H19" si="5">C18/$A$9</f>
        <v>0</v>
      </c>
      <c r="D19" s="197">
        <f t="shared" si="5"/>
        <v>1748.2080867111208</v>
      </c>
      <c r="E19" s="197">
        <f t="shared" si="5"/>
        <v>1748.2080867111208</v>
      </c>
      <c r="F19" s="197">
        <f t="shared" si="5"/>
        <v>1748.2080867111208</v>
      </c>
      <c r="G19" s="197">
        <f t="shared" si="5"/>
        <v>1748.2080867111208</v>
      </c>
      <c r="H19" s="197">
        <f t="shared" si="5"/>
        <v>1748.2080867111208</v>
      </c>
    </row>
    <row r="20" spans="2:11" x14ac:dyDescent="0.2">
      <c r="B20" s="196" t="s">
        <v>92</v>
      </c>
      <c r="C20" s="197">
        <f t="shared" ref="C20:H20" si="6">C17-C18-C19</f>
        <v>0</v>
      </c>
      <c r="D20" s="197">
        <f t="shared" si="6"/>
        <v>9650.9827426887459</v>
      </c>
      <c r="E20" s="197">
        <f t="shared" si="6"/>
        <v>9650.9827426887459</v>
      </c>
      <c r="F20" s="197">
        <f t="shared" si="6"/>
        <v>9650.9827426887459</v>
      </c>
      <c r="G20" s="197">
        <f t="shared" si="6"/>
        <v>9650.9827426887459</v>
      </c>
      <c r="H20" s="197">
        <f t="shared" si="6"/>
        <v>9650.9827426887459</v>
      </c>
    </row>
    <row r="21" spans="2:11" ht="3" customHeight="1" x14ac:dyDescent="0.2">
      <c r="B21" s="189"/>
      <c r="C21" s="189"/>
      <c r="D21" s="189"/>
      <c r="E21" s="189"/>
      <c r="F21" s="189"/>
      <c r="G21" s="189"/>
      <c r="H21" s="189"/>
    </row>
    <row r="22" spans="2:11" ht="3" customHeight="1" x14ac:dyDescent="0.2"/>
    <row r="23" spans="2:11" ht="12" x14ac:dyDescent="0.25">
      <c r="B23" s="199" t="s">
        <v>98</v>
      </c>
      <c r="C23" s="200">
        <f t="shared" ref="C23:H23" si="7">C17*C16</f>
        <v>0</v>
      </c>
      <c r="D23" s="200">
        <f t="shared" si="7"/>
        <v>525000</v>
      </c>
      <c r="E23" s="200">
        <f t="shared" si="7"/>
        <v>805000</v>
      </c>
      <c r="F23" s="200">
        <f t="shared" si="7"/>
        <v>1225000</v>
      </c>
      <c r="G23" s="200">
        <f t="shared" si="7"/>
        <v>1855000</v>
      </c>
      <c r="H23" s="200">
        <f t="shared" si="7"/>
        <v>2800000</v>
      </c>
    </row>
    <row r="25" spans="2:11" ht="12" x14ac:dyDescent="0.25">
      <c r="B25" s="190" t="s">
        <v>71</v>
      </c>
    </row>
    <row r="26" spans="2:11" x14ac:dyDescent="0.2">
      <c r="B26" s="186" t="s">
        <v>68</v>
      </c>
      <c r="C26" s="191">
        <v>0</v>
      </c>
      <c r="D26" s="192">
        <v>20</v>
      </c>
      <c r="E26" s="205">
        <f>ROUNDUP(D26*'1.Revenues and Costs of Sales'!$K$49,0)</f>
        <v>30</v>
      </c>
      <c r="F26" s="205">
        <f>ROUNDUP(E26*'1.Revenues and Costs of Sales'!$K$49,0)</f>
        <v>45</v>
      </c>
      <c r="G26" s="205">
        <f>ROUNDUP(F26*'1.Revenues and Costs of Sales'!$K$49,0)</f>
        <v>68</v>
      </c>
      <c r="H26" s="205">
        <f>ROUNDUP(G26*'1.Revenues and Costs of Sales'!$K$49,0)</f>
        <v>102</v>
      </c>
    </row>
    <row r="27" spans="2:11" x14ac:dyDescent="0.2">
      <c r="B27" s="186" t="s">
        <v>89</v>
      </c>
      <c r="C27" s="193">
        <v>0</v>
      </c>
      <c r="D27" s="194">
        <v>50000</v>
      </c>
      <c r="E27" s="204">
        <f>D27</f>
        <v>50000</v>
      </c>
      <c r="F27" s="204">
        <f>E27</f>
        <v>50000</v>
      </c>
      <c r="G27" s="204">
        <f>F27</f>
        <v>50000</v>
      </c>
      <c r="H27" s="204">
        <f>G27</f>
        <v>50000</v>
      </c>
    </row>
    <row r="28" spans="2:11" x14ac:dyDescent="0.2">
      <c r="B28" s="196" t="s">
        <v>90</v>
      </c>
      <c r="C28" s="197">
        <f t="shared" ref="C28:H28" si="8">C27/$A$8</f>
        <v>0</v>
      </c>
      <c r="D28" s="197">
        <f t="shared" si="8"/>
        <v>33715.441672285902</v>
      </c>
      <c r="E28" s="197">
        <f t="shared" si="8"/>
        <v>33715.441672285902</v>
      </c>
      <c r="F28" s="197">
        <f t="shared" si="8"/>
        <v>33715.441672285902</v>
      </c>
      <c r="G28" s="197">
        <f t="shared" si="8"/>
        <v>33715.441672285902</v>
      </c>
      <c r="H28" s="197">
        <f t="shared" si="8"/>
        <v>33715.441672285902</v>
      </c>
    </row>
    <row r="29" spans="2:11" x14ac:dyDescent="0.2">
      <c r="B29" s="196" t="s">
        <v>91</v>
      </c>
      <c r="C29" s="197">
        <f t="shared" ref="C29:H29" si="9">C28/$A$9</f>
        <v>0</v>
      </c>
      <c r="D29" s="197">
        <f t="shared" si="9"/>
        <v>2497.4401238730297</v>
      </c>
      <c r="E29" s="197">
        <f t="shared" si="9"/>
        <v>2497.4401238730297</v>
      </c>
      <c r="F29" s="197">
        <f t="shared" si="9"/>
        <v>2497.4401238730297</v>
      </c>
      <c r="G29" s="197">
        <f t="shared" si="9"/>
        <v>2497.4401238730297</v>
      </c>
      <c r="H29" s="197">
        <f t="shared" si="9"/>
        <v>2497.4401238730297</v>
      </c>
      <c r="K29" s="186">
        <v>4</v>
      </c>
    </row>
    <row r="30" spans="2:11" x14ac:dyDescent="0.2">
      <c r="B30" s="196" t="s">
        <v>92</v>
      </c>
      <c r="C30" s="197">
        <f t="shared" ref="C30:H30" si="10">C27-C28-C29</f>
        <v>0</v>
      </c>
      <c r="D30" s="197">
        <f t="shared" si="10"/>
        <v>13787.118203841068</v>
      </c>
      <c r="E30" s="197">
        <f t="shared" si="10"/>
        <v>13787.118203841068</v>
      </c>
      <c r="F30" s="197">
        <f t="shared" si="10"/>
        <v>13787.118203841068</v>
      </c>
      <c r="G30" s="197">
        <f t="shared" si="10"/>
        <v>13787.118203841068</v>
      </c>
      <c r="H30" s="197">
        <f t="shared" si="10"/>
        <v>13787.118203841068</v>
      </c>
    </row>
    <row r="31" spans="2:11" ht="3" customHeight="1" x14ac:dyDescent="0.2">
      <c r="B31" s="189"/>
      <c r="C31" s="189"/>
      <c r="D31" s="189"/>
      <c r="E31" s="189"/>
      <c r="F31" s="189"/>
      <c r="G31" s="189"/>
      <c r="H31" s="189"/>
    </row>
    <row r="32" spans="2:11" ht="3" customHeight="1" x14ac:dyDescent="0.2"/>
    <row r="33" spans="2:11" ht="12" x14ac:dyDescent="0.25">
      <c r="B33" s="199" t="s">
        <v>97</v>
      </c>
      <c r="C33" s="200">
        <f t="shared" ref="C33:H33" si="11">C27*C26</f>
        <v>0</v>
      </c>
      <c r="D33" s="200">
        <f t="shared" si="11"/>
        <v>1000000</v>
      </c>
      <c r="E33" s="200">
        <f t="shared" si="11"/>
        <v>1500000</v>
      </c>
      <c r="F33" s="200">
        <f t="shared" si="11"/>
        <v>2250000</v>
      </c>
      <c r="G33" s="200">
        <f t="shared" si="11"/>
        <v>3400000</v>
      </c>
      <c r="H33" s="200">
        <f t="shared" si="11"/>
        <v>5100000</v>
      </c>
    </row>
    <row r="35" spans="2:11" ht="12" x14ac:dyDescent="0.25">
      <c r="B35" s="190" t="s">
        <v>69</v>
      </c>
    </row>
    <row r="36" spans="2:11" x14ac:dyDescent="0.2">
      <c r="B36" s="186" t="s">
        <v>68</v>
      </c>
      <c r="C36" s="191">
        <v>0</v>
      </c>
      <c r="D36" s="192">
        <v>2</v>
      </c>
      <c r="E36" s="205">
        <f>ROUNDUP(D36*'1.Revenues and Costs of Sales'!$K$49,0)</f>
        <v>3</v>
      </c>
      <c r="F36" s="205">
        <f>ROUNDUP(E36*'1.Revenues and Costs of Sales'!$K$49,0)</f>
        <v>5</v>
      </c>
      <c r="G36" s="205">
        <f>ROUNDUP(F36*'1.Revenues and Costs of Sales'!$K$49,0)</f>
        <v>8</v>
      </c>
      <c r="H36" s="205">
        <f>ROUNDUP(G36*'1.Revenues and Costs of Sales'!$K$49,0)</f>
        <v>12</v>
      </c>
    </row>
    <row r="37" spans="2:11" x14ac:dyDescent="0.2">
      <c r="B37" s="186" t="s">
        <v>89</v>
      </c>
      <c r="C37" s="193">
        <v>0</v>
      </c>
      <c r="D37" s="194">
        <v>35000</v>
      </c>
      <c r="E37" s="204">
        <f>D37</f>
        <v>35000</v>
      </c>
      <c r="F37" s="204">
        <f>E37</f>
        <v>35000</v>
      </c>
      <c r="G37" s="204">
        <f>F37</f>
        <v>35000</v>
      </c>
      <c r="H37" s="204">
        <f>G37</f>
        <v>35000</v>
      </c>
    </row>
    <row r="38" spans="2:11" x14ac:dyDescent="0.2">
      <c r="B38" s="196" t="s">
        <v>90</v>
      </c>
      <c r="C38" s="197">
        <f t="shared" ref="C38:H38" si="12">C37/$A$8</f>
        <v>0</v>
      </c>
      <c r="D38" s="197">
        <f t="shared" si="12"/>
        <v>23600.809170600132</v>
      </c>
      <c r="E38" s="197">
        <f t="shared" si="12"/>
        <v>23600.809170600132</v>
      </c>
      <c r="F38" s="197">
        <f t="shared" si="12"/>
        <v>23600.809170600132</v>
      </c>
      <c r="G38" s="197">
        <f t="shared" si="12"/>
        <v>23600.809170600132</v>
      </c>
      <c r="H38" s="197">
        <f t="shared" si="12"/>
        <v>23600.809170600132</v>
      </c>
    </row>
    <row r="39" spans="2:11" x14ac:dyDescent="0.2">
      <c r="B39" s="196" t="s">
        <v>91</v>
      </c>
      <c r="C39" s="197">
        <f t="shared" ref="C39:H39" si="13">C38/$A$9</f>
        <v>0</v>
      </c>
      <c r="D39" s="197">
        <f t="shared" si="13"/>
        <v>1748.2080867111208</v>
      </c>
      <c r="E39" s="197">
        <f t="shared" si="13"/>
        <v>1748.2080867111208</v>
      </c>
      <c r="F39" s="197">
        <f t="shared" si="13"/>
        <v>1748.2080867111208</v>
      </c>
      <c r="G39" s="197">
        <f t="shared" si="13"/>
        <v>1748.2080867111208</v>
      </c>
      <c r="H39" s="197">
        <f t="shared" si="13"/>
        <v>1748.2080867111208</v>
      </c>
      <c r="K39" s="186">
        <v>4</v>
      </c>
    </row>
    <row r="40" spans="2:11" x14ac:dyDescent="0.2">
      <c r="B40" s="196" t="s">
        <v>92</v>
      </c>
      <c r="C40" s="197">
        <f t="shared" ref="C40:H40" si="14">C37-C38-C39</f>
        <v>0</v>
      </c>
      <c r="D40" s="197">
        <f t="shared" si="14"/>
        <v>9650.9827426887459</v>
      </c>
      <c r="E40" s="197">
        <f t="shared" si="14"/>
        <v>9650.9827426887459</v>
      </c>
      <c r="F40" s="197">
        <f t="shared" si="14"/>
        <v>9650.9827426887459</v>
      </c>
      <c r="G40" s="197">
        <f t="shared" si="14"/>
        <v>9650.9827426887459</v>
      </c>
      <c r="H40" s="197">
        <f t="shared" si="14"/>
        <v>9650.9827426887459</v>
      </c>
    </row>
    <row r="41" spans="2:11" ht="3" customHeight="1" x14ac:dyDescent="0.2">
      <c r="B41" s="189"/>
      <c r="C41" s="189"/>
      <c r="D41" s="189"/>
      <c r="E41" s="189"/>
      <c r="F41" s="189"/>
      <c r="G41" s="189"/>
      <c r="H41" s="189"/>
    </row>
    <row r="42" spans="2:11" ht="3" customHeight="1" x14ac:dyDescent="0.2"/>
    <row r="43" spans="2:11" ht="12" x14ac:dyDescent="0.25">
      <c r="B43" s="199" t="s">
        <v>96</v>
      </c>
      <c r="C43" s="200">
        <f t="shared" ref="C43:H43" si="15">C37*C36</f>
        <v>0</v>
      </c>
      <c r="D43" s="200">
        <f t="shared" si="15"/>
        <v>70000</v>
      </c>
      <c r="E43" s="200">
        <f t="shared" si="15"/>
        <v>105000</v>
      </c>
      <c r="F43" s="200">
        <f t="shared" si="15"/>
        <v>175000</v>
      </c>
      <c r="G43" s="200">
        <f t="shared" si="15"/>
        <v>280000</v>
      </c>
      <c r="H43" s="200">
        <f t="shared" si="15"/>
        <v>420000</v>
      </c>
    </row>
    <row r="45" spans="2:11" ht="12" x14ac:dyDescent="0.25">
      <c r="B45" s="190" t="s">
        <v>70</v>
      </c>
    </row>
    <row r="46" spans="2:11" x14ac:dyDescent="0.2">
      <c r="B46" s="186" t="s">
        <v>68</v>
      </c>
      <c r="C46" s="192">
        <v>0</v>
      </c>
      <c r="D46" s="192">
        <v>1</v>
      </c>
      <c r="E46" s="205">
        <f>ROUNDUP(D46*'1.Revenues and Costs of Sales'!$K$49,0)</f>
        <v>2</v>
      </c>
      <c r="F46" s="205">
        <f>ROUNDUP(E46*'1.Revenues and Costs of Sales'!$K$49,0)</f>
        <v>3</v>
      </c>
      <c r="G46" s="205">
        <f>ROUNDUP(F46*'1.Revenues and Costs of Sales'!$K$49,0)</f>
        <v>5</v>
      </c>
      <c r="H46" s="205">
        <f>ROUNDUP(G46*'1.Revenues and Costs of Sales'!$K$49,0)</f>
        <v>8</v>
      </c>
    </row>
    <row r="47" spans="2:11" x14ac:dyDescent="0.2">
      <c r="B47" s="186" t="s">
        <v>89</v>
      </c>
      <c r="C47" s="194">
        <v>0</v>
      </c>
      <c r="D47" s="194">
        <v>50000</v>
      </c>
      <c r="E47" s="204">
        <f>D47</f>
        <v>50000</v>
      </c>
      <c r="F47" s="204">
        <f>E47</f>
        <v>50000</v>
      </c>
      <c r="G47" s="204">
        <f>F47</f>
        <v>50000</v>
      </c>
      <c r="H47" s="204">
        <f>G47</f>
        <v>50000</v>
      </c>
    </row>
    <row r="48" spans="2:11" x14ac:dyDescent="0.2">
      <c r="B48" s="196" t="s">
        <v>90</v>
      </c>
      <c r="C48" s="197">
        <f t="shared" ref="C48:H48" si="16">C47/$A$8</f>
        <v>0</v>
      </c>
      <c r="D48" s="197">
        <f t="shared" si="16"/>
        <v>33715.441672285902</v>
      </c>
      <c r="E48" s="197">
        <f t="shared" si="16"/>
        <v>33715.441672285902</v>
      </c>
      <c r="F48" s="197">
        <f t="shared" si="16"/>
        <v>33715.441672285902</v>
      </c>
      <c r="G48" s="197">
        <f t="shared" si="16"/>
        <v>33715.441672285902</v>
      </c>
      <c r="H48" s="197">
        <f t="shared" si="16"/>
        <v>33715.441672285902</v>
      </c>
    </row>
    <row r="49" spans="2:8" x14ac:dyDescent="0.2">
      <c r="B49" s="196" t="s">
        <v>91</v>
      </c>
      <c r="C49" s="197">
        <f t="shared" ref="C49:H49" si="17">C48/$A$9</f>
        <v>0</v>
      </c>
      <c r="D49" s="197">
        <f t="shared" si="17"/>
        <v>2497.4401238730297</v>
      </c>
      <c r="E49" s="197">
        <f t="shared" si="17"/>
        <v>2497.4401238730297</v>
      </c>
      <c r="F49" s="197">
        <f t="shared" si="17"/>
        <v>2497.4401238730297</v>
      </c>
      <c r="G49" s="197">
        <f t="shared" si="17"/>
        <v>2497.4401238730297</v>
      </c>
      <c r="H49" s="197">
        <f t="shared" si="17"/>
        <v>2497.4401238730297</v>
      </c>
    </row>
    <row r="50" spans="2:8" x14ac:dyDescent="0.2">
      <c r="B50" s="196" t="s">
        <v>92</v>
      </c>
      <c r="C50" s="197">
        <f t="shared" ref="C50:H50" si="18">C47-C48-C49</f>
        <v>0</v>
      </c>
      <c r="D50" s="197">
        <f t="shared" si="18"/>
        <v>13787.118203841068</v>
      </c>
      <c r="E50" s="197">
        <f t="shared" si="18"/>
        <v>13787.118203841068</v>
      </c>
      <c r="F50" s="197">
        <f t="shared" si="18"/>
        <v>13787.118203841068</v>
      </c>
      <c r="G50" s="197">
        <f t="shared" si="18"/>
        <v>13787.118203841068</v>
      </c>
      <c r="H50" s="197">
        <f t="shared" si="18"/>
        <v>13787.118203841068</v>
      </c>
    </row>
    <row r="51" spans="2:8" ht="3" customHeight="1" x14ac:dyDescent="0.2">
      <c r="B51" s="189"/>
      <c r="C51" s="189"/>
      <c r="D51" s="189"/>
      <c r="E51" s="189"/>
      <c r="F51" s="189"/>
      <c r="G51" s="189"/>
      <c r="H51" s="189"/>
    </row>
    <row r="52" spans="2:8" ht="3" customHeight="1" x14ac:dyDescent="0.2"/>
    <row r="53" spans="2:8" ht="12" x14ac:dyDescent="0.25">
      <c r="B53" s="199" t="s">
        <v>95</v>
      </c>
      <c r="C53" s="200">
        <f t="shared" ref="C53:H53" si="19">C47*C46</f>
        <v>0</v>
      </c>
      <c r="D53" s="200">
        <f t="shared" si="19"/>
        <v>50000</v>
      </c>
      <c r="E53" s="200">
        <f t="shared" si="19"/>
        <v>100000</v>
      </c>
      <c r="F53" s="200">
        <f t="shared" si="19"/>
        <v>150000</v>
      </c>
      <c r="G53" s="200">
        <f t="shared" si="19"/>
        <v>250000</v>
      </c>
      <c r="H53" s="200">
        <f t="shared" si="19"/>
        <v>400000</v>
      </c>
    </row>
    <row r="55" spans="2:8" ht="12" x14ac:dyDescent="0.25">
      <c r="B55" s="190" t="s">
        <v>80</v>
      </c>
    </row>
    <row r="56" spans="2:8" x14ac:dyDescent="0.2">
      <c r="B56" s="186" t="s">
        <v>68</v>
      </c>
      <c r="C56" s="192">
        <v>0</v>
      </c>
      <c r="D56" s="192">
        <v>5</v>
      </c>
      <c r="E56" s="192">
        <v>5</v>
      </c>
      <c r="F56" s="205">
        <f>ROUNDUP(E56*'1.Revenues and Costs of Sales'!$K$49,0)</f>
        <v>8</v>
      </c>
      <c r="G56" s="205">
        <f>ROUNDUP(F56*'1.Revenues and Costs of Sales'!$K$49,0)</f>
        <v>12</v>
      </c>
      <c r="H56" s="205">
        <f>ROUNDUP(G56*'1.Revenues and Costs of Sales'!$K$49,0)</f>
        <v>18</v>
      </c>
    </row>
    <row r="57" spans="2:8" x14ac:dyDescent="0.2">
      <c r="B57" s="186" t="s">
        <v>89</v>
      </c>
      <c r="C57" s="194">
        <v>0</v>
      </c>
      <c r="D57" s="194">
        <v>60000</v>
      </c>
      <c r="E57" s="194">
        <v>60000</v>
      </c>
      <c r="F57" s="204">
        <f>E57</f>
        <v>60000</v>
      </c>
      <c r="G57" s="204">
        <f>F57</f>
        <v>60000</v>
      </c>
      <c r="H57" s="204">
        <f>G57</f>
        <v>60000</v>
      </c>
    </row>
    <row r="58" spans="2:8" x14ac:dyDescent="0.2">
      <c r="B58" s="196" t="s">
        <v>90</v>
      </c>
      <c r="C58" s="197">
        <f t="shared" ref="C58:H58" si="20">C57/$A$8</f>
        <v>0</v>
      </c>
      <c r="D58" s="197">
        <f t="shared" si="20"/>
        <v>40458.530006743087</v>
      </c>
      <c r="E58" s="197">
        <f t="shared" si="20"/>
        <v>40458.530006743087</v>
      </c>
      <c r="F58" s="197">
        <f t="shared" si="20"/>
        <v>40458.530006743087</v>
      </c>
      <c r="G58" s="197">
        <f t="shared" si="20"/>
        <v>40458.530006743087</v>
      </c>
      <c r="H58" s="197">
        <f t="shared" si="20"/>
        <v>40458.530006743087</v>
      </c>
    </row>
    <row r="59" spans="2:8" x14ac:dyDescent="0.2">
      <c r="B59" s="196" t="s">
        <v>91</v>
      </c>
      <c r="C59" s="197">
        <f t="shared" ref="C59:H59" si="21">C58/$A$9</f>
        <v>0</v>
      </c>
      <c r="D59" s="197">
        <f t="shared" si="21"/>
        <v>2996.9281486476361</v>
      </c>
      <c r="E59" s="197">
        <f t="shared" si="21"/>
        <v>2996.9281486476361</v>
      </c>
      <c r="F59" s="197">
        <f t="shared" si="21"/>
        <v>2996.9281486476361</v>
      </c>
      <c r="G59" s="197">
        <f t="shared" si="21"/>
        <v>2996.9281486476361</v>
      </c>
      <c r="H59" s="197">
        <f t="shared" si="21"/>
        <v>2996.9281486476361</v>
      </c>
    </row>
    <row r="60" spans="2:8" x14ac:dyDescent="0.2">
      <c r="B60" s="196" t="s">
        <v>92</v>
      </c>
      <c r="C60" s="197">
        <f t="shared" ref="C60:H60" si="22">C57-C58-C59</f>
        <v>0</v>
      </c>
      <c r="D60" s="197">
        <f t="shared" si="22"/>
        <v>16544.541844609277</v>
      </c>
      <c r="E60" s="197">
        <f t="shared" si="22"/>
        <v>16544.541844609277</v>
      </c>
      <c r="F60" s="197">
        <f t="shared" si="22"/>
        <v>16544.541844609277</v>
      </c>
      <c r="G60" s="197">
        <f t="shared" si="22"/>
        <v>16544.541844609277</v>
      </c>
      <c r="H60" s="197">
        <f t="shared" si="22"/>
        <v>16544.541844609277</v>
      </c>
    </row>
    <row r="61" spans="2:8" ht="3" customHeight="1" x14ac:dyDescent="0.2">
      <c r="B61" s="189"/>
      <c r="C61" s="189"/>
      <c r="D61" s="189"/>
      <c r="E61" s="189"/>
      <c r="F61" s="189"/>
      <c r="G61" s="189"/>
      <c r="H61" s="189"/>
    </row>
    <row r="62" spans="2:8" ht="3" customHeight="1" x14ac:dyDescent="0.2"/>
    <row r="63" spans="2:8" ht="12" x14ac:dyDescent="0.25">
      <c r="B63" s="199" t="s">
        <v>94</v>
      </c>
      <c r="C63" s="200">
        <f t="shared" ref="C63:H63" si="23">C57*C56</f>
        <v>0</v>
      </c>
      <c r="D63" s="200">
        <f t="shared" si="23"/>
        <v>300000</v>
      </c>
      <c r="E63" s="200">
        <f t="shared" si="23"/>
        <v>300000</v>
      </c>
      <c r="F63" s="200">
        <f t="shared" si="23"/>
        <v>480000</v>
      </c>
      <c r="G63" s="200">
        <f t="shared" si="23"/>
        <v>720000</v>
      </c>
      <c r="H63" s="200">
        <f t="shared" si="23"/>
        <v>1080000</v>
      </c>
    </row>
    <row r="65" spans="2:8" ht="12" x14ac:dyDescent="0.25">
      <c r="B65" s="190" t="s">
        <v>208</v>
      </c>
    </row>
    <row r="66" spans="2:8" x14ac:dyDescent="0.2">
      <c r="B66" s="186" t="s">
        <v>68</v>
      </c>
      <c r="C66" s="192">
        <v>0</v>
      </c>
      <c r="D66" s="192">
        <v>6</v>
      </c>
      <c r="E66" s="205">
        <f>D66</f>
        <v>6</v>
      </c>
      <c r="F66" s="192">
        <v>8</v>
      </c>
      <c r="G66" s="192">
        <v>10</v>
      </c>
      <c r="H66" s="192">
        <v>10</v>
      </c>
    </row>
    <row r="67" spans="2:8" x14ac:dyDescent="0.2">
      <c r="B67" s="186" t="s">
        <v>89</v>
      </c>
      <c r="C67" s="194">
        <v>0</v>
      </c>
      <c r="D67" s="194">
        <v>80000</v>
      </c>
      <c r="E67" s="204">
        <f>D67*'1.Revenues and Costs of Sales'!$K$35</f>
        <v>165080.91706841346</v>
      </c>
      <c r="F67" s="204">
        <f>E67*'1.Revenues and Costs of Sales'!$K$35</f>
        <v>340646.36475185503</v>
      </c>
      <c r="G67" s="204">
        <f>F67*'1.Revenues and Costs of Sales'!$K$35</f>
        <v>702927.67861571873</v>
      </c>
      <c r="H67" s="204">
        <f>G67*'1.Revenues and Costs of Sales'!$K$35</f>
        <v>1450499.3227331731</v>
      </c>
    </row>
    <row r="68" spans="2:8" x14ac:dyDescent="0.2">
      <c r="B68" s="196" t="s">
        <v>90</v>
      </c>
      <c r="C68" s="197">
        <f t="shared" ref="C68:H68" si="24">C67/$A$8</f>
        <v>0</v>
      </c>
      <c r="D68" s="197">
        <f t="shared" si="24"/>
        <v>53944.70667565745</v>
      </c>
      <c r="E68" s="197">
        <f t="shared" si="24"/>
        <v>111315.52061255122</v>
      </c>
      <c r="F68" s="197">
        <f t="shared" si="24"/>
        <v>229700.85283334795</v>
      </c>
      <c r="G68" s="197">
        <f t="shared" si="24"/>
        <v>473990.34296407196</v>
      </c>
      <c r="H68" s="197">
        <f t="shared" si="24"/>
        <v>978084.50622601015</v>
      </c>
    </row>
    <row r="69" spans="2:8" x14ac:dyDescent="0.2">
      <c r="B69" s="196" t="s">
        <v>91</v>
      </c>
      <c r="C69" s="197">
        <f t="shared" ref="C69:H69" si="25">C68/$A$9</f>
        <v>0</v>
      </c>
      <c r="D69" s="197">
        <f t="shared" si="25"/>
        <v>3995.904198196848</v>
      </c>
      <c r="E69" s="197">
        <f t="shared" si="25"/>
        <v>8245.5941194482384</v>
      </c>
      <c r="F69" s="197">
        <f t="shared" si="25"/>
        <v>17014.877987655404</v>
      </c>
      <c r="G69" s="197">
        <f t="shared" si="25"/>
        <v>35110.395775116442</v>
      </c>
      <c r="H69" s="197">
        <f t="shared" si="25"/>
        <v>72450.704164889641</v>
      </c>
    </row>
    <row r="70" spans="2:8" x14ac:dyDescent="0.2">
      <c r="B70" s="196" t="s">
        <v>92</v>
      </c>
      <c r="C70" s="197">
        <f t="shared" ref="C70:H70" si="26">C67-C68-C69</f>
        <v>0</v>
      </c>
      <c r="D70" s="197">
        <f t="shared" si="26"/>
        <v>22059.389126145703</v>
      </c>
      <c r="E70" s="197">
        <f t="shared" si="26"/>
        <v>45519.802336414003</v>
      </c>
      <c r="F70" s="197">
        <f t="shared" si="26"/>
        <v>93930.633930851676</v>
      </c>
      <c r="G70" s="197">
        <f t="shared" si="26"/>
        <v>193826.93987653032</v>
      </c>
      <c r="H70" s="197">
        <f t="shared" si="26"/>
        <v>399964.11234227335</v>
      </c>
    </row>
    <row r="71" spans="2:8" ht="3" customHeight="1" x14ac:dyDescent="0.2">
      <c r="B71" s="189"/>
      <c r="C71" s="189"/>
      <c r="D71" s="189"/>
      <c r="E71" s="189"/>
      <c r="F71" s="189"/>
      <c r="G71" s="189"/>
      <c r="H71" s="189"/>
    </row>
    <row r="72" spans="2:8" ht="3" customHeight="1" x14ac:dyDescent="0.2"/>
    <row r="73" spans="2:8" ht="12" x14ac:dyDescent="0.25">
      <c r="B73" s="199" t="s">
        <v>207</v>
      </c>
      <c r="C73" s="200">
        <f t="shared" ref="C73:H73" si="27">C67*C66</f>
        <v>0</v>
      </c>
      <c r="D73" s="200">
        <f t="shared" si="27"/>
        <v>480000</v>
      </c>
      <c r="E73" s="200">
        <f t="shared" si="27"/>
        <v>990485.50241048075</v>
      </c>
      <c r="F73" s="200">
        <f t="shared" si="27"/>
        <v>2725170.9180148402</v>
      </c>
      <c r="G73" s="200">
        <f t="shared" si="27"/>
        <v>7029276.7861571871</v>
      </c>
      <c r="H73" s="200">
        <f t="shared" si="27"/>
        <v>14504993.227331731</v>
      </c>
    </row>
    <row r="74" spans="2:8" ht="3" customHeight="1" x14ac:dyDescent="0.2">
      <c r="B74" s="189"/>
      <c r="C74" s="189"/>
      <c r="D74" s="189"/>
      <c r="E74" s="189"/>
      <c r="F74" s="189"/>
      <c r="G74" s="189"/>
      <c r="H74" s="189"/>
    </row>
    <row r="75" spans="2:8" ht="3" customHeight="1" x14ac:dyDescent="0.2"/>
    <row r="76" spans="2:8" ht="12" x14ac:dyDescent="0.25">
      <c r="B76" s="201" t="s">
        <v>35</v>
      </c>
      <c r="C76" s="200">
        <f t="shared" ref="C76:H76" si="28">C13+C43+C53+C73+C23+C33+C63</f>
        <v>30000</v>
      </c>
      <c r="D76" s="200">
        <f t="shared" si="28"/>
        <v>2575000</v>
      </c>
      <c r="E76" s="200">
        <f t="shared" si="28"/>
        <v>4050485.5024104808</v>
      </c>
      <c r="F76" s="200">
        <f t="shared" si="28"/>
        <v>7405170.9180148402</v>
      </c>
      <c r="G76" s="200">
        <f t="shared" si="28"/>
        <v>14134276.786157187</v>
      </c>
      <c r="H76" s="200">
        <f t="shared" si="28"/>
        <v>25204993.227331731</v>
      </c>
    </row>
    <row r="79" spans="2:8" ht="12" x14ac:dyDescent="0.25">
      <c r="B79" s="190" t="s">
        <v>100</v>
      </c>
      <c r="C79" s="200">
        <f t="shared" ref="C79:H79" si="29">C8*C$6+C38*C$36+C48*C$46+C68*C$66+C18*C$16+C28*C$26+C58*C$56</f>
        <v>20229.265003371544</v>
      </c>
      <c r="D79" s="200">
        <f t="shared" si="29"/>
        <v>1736345.2461227239</v>
      </c>
      <c r="E79" s="200">
        <f t="shared" si="29"/>
        <v>2731278.1540192044</v>
      </c>
      <c r="F79" s="200">
        <f t="shared" si="29"/>
        <v>4993372.1631927434</v>
      </c>
      <c r="G79" s="200">
        <f t="shared" si="29"/>
        <v>9530867.6912725456</v>
      </c>
      <c r="H79" s="200">
        <f t="shared" si="29"/>
        <v>16995949.580129288</v>
      </c>
    </row>
    <row r="80" spans="2:8" ht="12" x14ac:dyDescent="0.25">
      <c r="B80" s="190" t="s">
        <v>101</v>
      </c>
      <c r="C80" s="200">
        <f t="shared" ref="C80:H81" si="30">C9*C$6+C39*C$36+C49*C$46+C69*C$66+C19*C$16+C29*C$26+C59*C$56</f>
        <v>1498.4640743238181</v>
      </c>
      <c r="D80" s="200">
        <f t="shared" si="30"/>
        <v>128618.16637946104</v>
      </c>
      <c r="E80" s="200">
        <f t="shared" si="30"/>
        <v>202316.90029771885</v>
      </c>
      <c r="F80" s="200">
        <f t="shared" si="30"/>
        <v>369879.41949575883</v>
      </c>
      <c r="G80" s="200">
        <f t="shared" si="30"/>
        <v>705990.19935352192</v>
      </c>
      <c r="H80" s="200">
        <f t="shared" si="30"/>
        <v>1258959.228157725</v>
      </c>
    </row>
    <row r="81" spans="2:8" ht="12" x14ac:dyDescent="0.25">
      <c r="B81" s="190" t="s">
        <v>102</v>
      </c>
      <c r="C81" s="200">
        <f t="shared" si="30"/>
        <v>8272.2709223046386</v>
      </c>
      <c r="D81" s="200">
        <f t="shared" si="30"/>
        <v>710036.58749781502</v>
      </c>
      <c r="E81" s="200">
        <f t="shared" si="30"/>
        <v>1116890.4480935573</v>
      </c>
      <c r="F81" s="200">
        <f t="shared" si="30"/>
        <v>2041919.3353263373</v>
      </c>
      <c r="G81" s="200">
        <f t="shared" si="30"/>
        <v>3897418.8955311188</v>
      </c>
      <c r="H81" s="200">
        <f t="shared" si="30"/>
        <v>6950084.4190447219</v>
      </c>
    </row>
  </sheetData>
  <pageMargins left="0.7" right="0.7" top="0.75" bottom="0.75" header="0.3" footer="0.3"/>
  <pageSetup paperSize="9" orientation="portrait" verticalDpi="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59999389629810485"/>
  </sheetPr>
  <dimension ref="A1:I23"/>
  <sheetViews>
    <sheetView showGridLines="0" workbookViewId="0">
      <pane xSplit="1" ySplit="2" topLeftCell="B3" activePane="bottomRight" state="frozen"/>
      <selection pane="topRight" activeCell="B1" sqref="B1"/>
      <selection pane="bottomLeft" activeCell="A5" sqref="A5"/>
      <selection pane="bottomRight" activeCell="C23" sqref="A16:C23"/>
    </sheetView>
  </sheetViews>
  <sheetFormatPr defaultColWidth="8.875" defaultRowHeight="11.4" x14ac:dyDescent="0.2"/>
  <cols>
    <col min="1" max="1" width="41.375" style="90" customWidth="1"/>
    <col min="2" max="2" width="20.75" style="90" customWidth="1"/>
    <col min="3" max="3" width="30.875" style="90" customWidth="1"/>
    <col min="4" max="8" width="20.75" style="90" customWidth="1"/>
    <col min="9" max="9" width="19.875" style="90" customWidth="1"/>
    <col min="10" max="16384" width="8.875" style="90"/>
  </cols>
  <sheetData>
    <row r="1" spans="1:9" s="131" customFormat="1" ht="12.6" thickBot="1" x14ac:dyDescent="0.3">
      <c r="A1" s="130" t="s">
        <v>61</v>
      </c>
    </row>
    <row r="2" spans="1:9" ht="5.0999999999999996" customHeight="1" thickTop="1" x14ac:dyDescent="0.25">
      <c r="A2" s="128"/>
      <c r="B2" s="129"/>
      <c r="C2" s="129"/>
      <c r="D2" s="129"/>
      <c r="E2" s="129"/>
      <c r="F2" s="129"/>
      <c r="G2" s="129"/>
    </row>
    <row r="3" spans="1:9" ht="5.0999999999999996" customHeight="1" thickBot="1" x14ac:dyDescent="0.3">
      <c r="A3" s="128"/>
      <c r="B3" s="132"/>
      <c r="C3" s="132"/>
      <c r="D3" s="132"/>
      <c r="E3" s="132"/>
      <c r="F3" s="132"/>
    </row>
    <row r="4" spans="1:9" ht="15" customHeight="1" thickTop="1" thickBot="1" x14ac:dyDescent="0.3">
      <c r="A4" s="127" t="s">
        <v>81</v>
      </c>
      <c r="B4" s="138">
        <f>2021</f>
        <v>2021</v>
      </c>
      <c r="C4" s="138">
        <f>B4+1</f>
        <v>2022</v>
      </c>
      <c r="D4" s="138">
        <f>C4+1</f>
        <v>2023</v>
      </c>
      <c r="E4" s="138">
        <f>D4+1</f>
        <v>2024</v>
      </c>
      <c r="F4" s="138">
        <f>E4+1</f>
        <v>2025</v>
      </c>
      <c r="G4" s="138">
        <f>F4+1</f>
        <v>2026</v>
      </c>
      <c r="I4" s="138" t="s">
        <v>105</v>
      </c>
    </row>
    <row r="5" spans="1:9" ht="5.0999999999999996" customHeight="1" thickTop="1" thickBot="1" x14ac:dyDescent="0.3">
      <c r="A5" s="128"/>
      <c r="B5" s="132"/>
      <c r="C5" s="132"/>
      <c r="D5" s="132"/>
      <c r="E5" s="132"/>
      <c r="F5" s="132"/>
      <c r="G5" s="132"/>
    </row>
    <row r="6" spans="1:9" ht="15" customHeight="1" thickTop="1" thickBot="1" x14ac:dyDescent="0.25">
      <c r="A6" s="144" t="s">
        <v>82</v>
      </c>
      <c r="B6" s="145">
        <v>0</v>
      </c>
      <c r="C6" s="145">
        <v>0</v>
      </c>
      <c r="D6" s="206">
        <f ca="1">I6*-' Cash Flow Statement'!D51</f>
        <v>22193102.414760411</v>
      </c>
      <c r="E6" s="145">
        <v>0</v>
      </c>
      <c r="F6" s="145">
        <v>0</v>
      </c>
      <c r="G6" s="145">
        <v>0</v>
      </c>
      <c r="I6" s="185">
        <v>0.5</v>
      </c>
    </row>
    <row r="7" spans="1:9" ht="15" customHeight="1" thickTop="1" thickBot="1" x14ac:dyDescent="0.25">
      <c r="A7" s="144" t="s">
        <v>83</v>
      </c>
      <c r="B7" s="145">
        <v>0</v>
      </c>
      <c r="C7" s="145">
        <v>0</v>
      </c>
      <c r="D7" s="145">
        <v>6050000</v>
      </c>
      <c r="E7" s="145">
        <v>0</v>
      </c>
      <c r="F7" s="145">
        <v>0</v>
      </c>
      <c r="G7" s="145">
        <v>0</v>
      </c>
    </row>
    <row r="8" spans="1:9" ht="15" customHeight="1" thickTop="1" thickBot="1" x14ac:dyDescent="0.25">
      <c r="A8" s="144" t="s">
        <v>84</v>
      </c>
      <c r="B8" s="132">
        <f>$I$8*'1.Revenues and Costs of Sales'!C35</f>
        <v>12366.66666666667</v>
      </c>
      <c r="C8" s="132">
        <f>$I$8*'1.Revenues and Costs of Sales'!D35</f>
        <v>317367.64520382712</v>
      </c>
      <c r="D8" s="132">
        <f>$I$8*'1.Revenues and Costs of Sales'!E35</f>
        <v>1655276.6144242198</v>
      </c>
      <c r="E8" s="132">
        <f>$I$8*'1.Revenues and Costs of Sales'!F35</f>
        <v>3780285.0118999989</v>
      </c>
      <c r="F8" s="132">
        <f>$I$8*'1.Revenues and Costs of Sales'!G35</f>
        <v>5712832.9752178695</v>
      </c>
      <c r="G8" s="132">
        <f>$I$8*'1.Revenues and Costs of Sales'!H35</f>
        <v>7880964.8924947884</v>
      </c>
      <c r="I8" s="185">
        <v>0.02</v>
      </c>
    </row>
    <row r="9" spans="1:9" ht="15" customHeight="1" thickTop="1" thickBot="1" x14ac:dyDescent="0.25">
      <c r="A9" s="144" t="s">
        <v>85</v>
      </c>
      <c r="B9" s="145">
        <v>0</v>
      </c>
      <c r="C9" s="206">
        <f>$I$9*'1.Revenues and Costs of Sales'!D35</f>
        <v>158683.82260191356</v>
      </c>
      <c r="D9" s="206">
        <f>$I$9*'1.Revenues and Costs of Sales'!E35</f>
        <v>827638.30721210991</v>
      </c>
      <c r="E9" s="206">
        <f>$I$9*'1.Revenues and Costs of Sales'!F35</f>
        <v>1890142.5059499994</v>
      </c>
      <c r="F9" s="206">
        <f>$I$9*'1.Revenues and Costs of Sales'!G35</f>
        <v>2856416.4876089348</v>
      </c>
      <c r="G9" s="206">
        <f>$I$9*'1.Revenues and Costs of Sales'!H35</f>
        <v>3940482.4462473942</v>
      </c>
      <c r="I9" s="185">
        <v>0.01</v>
      </c>
    </row>
    <row r="10" spans="1:9" ht="15" customHeight="1" thickTop="1" thickBot="1" x14ac:dyDescent="0.25">
      <c r="A10" s="144" t="s">
        <v>86</v>
      </c>
      <c r="B10" s="145">
        <v>0</v>
      </c>
      <c r="C10" s="206">
        <f>$I$10*('4.Personnel'!D6+'4.Personnel'!D16+'4.Personnel'!D26+'4.Personnel'!D36+'4.Personnel'!D46+'4.Personnel'!D56+'4.Personnel'!D66)</f>
        <v>104000</v>
      </c>
      <c r="D10" s="206">
        <f>$I$10*('4.Personnel'!E6+'4.Personnel'!E16+'4.Personnel'!E26+'4.Personnel'!E36+'4.Personnel'!E46+'4.Personnel'!E56+'4.Personnel'!E66)</f>
        <v>148000</v>
      </c>
      <c r="E10" s="206">
        <f>$I$10*('4.Personnel'!F6+'4.Personnel'!F16+'4.Personnel'!F26+'4.Personnel'!F36+'4.Personnel'!F46+'4.Personnel'!F56+'4.Personnel'!F66)</f>
        <v>224000</v>
      </c>
      <c r="F10" s="206">
        <f>$I$10*('4.Personnel'!G6+'4.Personnel'!G16+'4.Personnel'!G26+'4.Personnel'!G36+'4.Personnel'!G46+'4.Personnel'!G56+'4.Personnel'!G66)</f>
        <v>336000</v>
      </c>
      <c r="G10" s="206">
        <f>$I$10*('4.Personnel'!H6+'4.Personnel'!H16+'4.Personnel'!H26+'4.Personnel'!H36+'4.Personnel'!H46+'4.Personnel'!H56+'4.Personnel'!H66)</f>
        <v>496000</v>
      </c>
      <c r="I10" s="146">
        <v>2000</v>
      </c>
    </row>
    <row r="11" spans="1:9" ht="15" customHeight="1" thickTop="1" x14ac:dyDescent="0.2"/>
    <row r="16" spans="1:9" ht="12" x14ac:dyDescent="0.25">
      <c r="A16" s="266" t="s">
        <v>303</v>
      </c>
      <c r="B16" s="266" t="s">
        <v>302</v>
      </c>
      <c r="C16" s="266" t="s">
        <v>294</v>
      </c>
      <c r="D16" s="266" t="s">
        <v>295</v>
      </c>
    </row>
    <row r="17" spans="1:4" ht="3" customHeight="1" x14ac:dyDescent="0.2">
      <c r="A17" s="300"/>
      <c r="B17" s="300"/>
      <c r="C17" s="300"/>
      <c r="D17" s="293"/>
    </row>
    <row r="18" spans="1:4" ht="3" customHeight="1" x14ac:dyDescent="0.2">
      <c r="A18" s="296"/>
      <c r="B18" s="296"/>
      <c r="C18" s="296"/>
    </row>
    <row r="19" spans="1:4" s="295" customFormat="1" ht="24.9" customHeight="1" x14ac:dyDescent="0.2">
      <c r="A19" s="294" t="s">
        <v>296</v>
      </c>
      <c r="B19" s="297">
        <f ca="1">D6</f>
        <v>22193102.414760411</v>
      </c>
      <c r="C19" s="298">
        <v>2023</v>
      </c>
    </row>
    <row r="20" spans="1:4" s="295" customFormat="1" ht="24.9" customHeight="1" x14ac:dyDescent="0.2">
      <c r="A20" s="294" t="s">
        <v>297</v>
      </c>
      <c r="B20" s="297">
        <f>D7</f>
        <v>6050000</v>
      </c>
      <c r="C20" s="298">
        <v>2023</v>
      </c>
    </row>
    <row r="21" spans="1:4" s="295" customFormat="1" ht="24.9" customHeight="1" x14ac:dyDescent="0.2">
      <c r="A21" s="294" t="s">
        <v>298</v>
      </c>
      <c r="B21" s="297">
        <f>SUM(B8:G8)</f>
        <v>19359093.805907369</v>
      </c>
      <c r="C21" s="298">
        <v>2021</v>
      </c>
    </row>
    <row r="22" spans="1:4" s="295" customFormat="1" ht="24.9" customHeight="1" x14ac:dyDescent="0.2">
      <c r="A22" s="294" t="s">
        <v>299</v>
      </c>
      <c r="B22" s="297">
        <f>SUM(B9:G9)</f>
        <v>9673363.5696203522</v>
      </c>
      <c r="C22" s="299" t="s">
        <v>301</v>
      </c>
    </row>
    <row r="23" spans="1:4" s="295" customFormat="1" ht="24.9" customHeight="1" x14ac:dyDescent="0.2">
      <c r="A23" s="294" t="s">
        <v>300</v>
      </c>
      <c r="B23" s="297">
        <f>SUM(B10:G10)</f>
        <v>1308000</v>
      </c>
      <c r="C23" s="299" t="s">
        <v>301</v>
      </c>
    </row>
  </sheetData>
  <pageMargins left="0.7" right="0.7" top="0.75" bottom="0.75" header="0.3" footer="0.3"/>
  <pageSetup paperSize="9" orientation="portrait" verticalDpi="0"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sheetPr>
  <dimension ref="A1:AR31"/>
  <sheetViews>
    <sheetView showGridLines="0" zoomScaleNormal="100" workbookViewId="0">
      <pane xSplit="1" ySplit="6" topLeftCell="B7" activePane="bottomRight" state="frozen"/>
      <selection pane="topRight" activeCell="C1" sqref="C1"/>
      <selection pane="bottomLeft" activeCell="A7" sqref="A7"/>
      <selection pane="bottomRight" activeCell="T47" sqref="T47"/>
    </sheetView>
  </sheetViews>
  <sheetFormatPr defaultRowHeight="11.4" x14ac:dyDescent="0.2"/>
  <cols>
    <col min="1" max="1" width="41.375" customWidth="1"/>
    <col min="2" max="2" width="9" customWidth="1"/>
    <col min="3" max="3" width="11" bestFit="1" customWidth="1"/>
    <col min="4" max="6" width="10.625" customWidth="1"/>
    <col min="7" max="9" width="10.625" bestFit="1" customWidth="1"/>
  </cols>
  <sheetData>
    <row r="1" spans="1:44" ht="15" x14ac:dyDescent="0.25">
      <c r="A1" s="27" t="s">
        <v>383</v>
      </c>
      <c r="B1" s="16"/>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row>
    <row r="2" spans="1:44" ht="15.6" x14ac:dyDescent="0.3">
      <c r="A2" s="28" t="s">
        <v>10</v>
      </c>
      <c r="B2" s="15"/>
      <c r="C2" s="14"/>
      <c r="D2" s="13" t="s">
        <v>22</v>
      </c>
      <c r="E2" s="12">
        <v>2019</v>
      </c>
      <c r="F2" s="12">
        <f t="shared" ref="F2:V2" si="0">+E2+1</f>
        <v>2020</v>
      </c>
      <c r="G2" s="12">
        <f t="shared" si="0"/>
        <v>2021</v>
      </c>
      <c r="H2" s="12">
        <f t="shared" si="0"/>
        <v>2022</v>
      </c>
      <c r="I2" s="12">
        <f t="shared" si="0"/>
        <v>2023</v>
      </c>
      <c r="J2" s="12">
        <f t="shared" si="0"/>
        <v>2024</v>
      </c>
      <c r="K2" s="12">
        <f t="shared" si="0"/>
        <v>2025</v>
      </c>
      <c r="L2" s="12">
        <f t="shared" si="0"/>
        <v>2026</v>
      </c>
      <c r="M2" s="12">
        <f t="shared" si="0"/>
        <v>2027</v>
      </c>
      <c r="N2" s="12">
        <f t="shared" si="0"/>
        <v>2028</v>
      </c>
      <c r="O2" s="12">
        <f t="shared" si="0"/>
        <v>2029</v>
      </c>
      <c r="P2" s="12">
        <f t="shared" si="0"/>
        <v>2030</v>
      </c>
      <c r="Q2" s="12">
        <f t="shared" si="0"/>
        <v>2031</v>
      </c>
      <c r="R2" s="12">
        <f t="shared" si="0"/>
        <v>2032</v>
      </c>
      <c r="S2" s="12">
        <f t="shared" si="0"/>
        <v>2033</v>
      </c>
      <c r="T2" s="12">
        <f t="shared" si="0"/>
        <v>2034</v>
      </c>
      <c r="U2" s="12">
        <f t="shared" si="0"/>
        <v>2035</v>
      </c>
      <c r="V2" s="12">
        <f t="shared" si="0"/>
        <v>2036</v>
      </c>
      <c r="W2" s="11"/>
      <c r="X2" s="11"/>
      <c r="Y2" s="11"/>
      <c r="Z2" s="11"/>
      <c r="AA2" s="11"/>
      <c r="AB2" s="11"/>
      <c r="AC2" s="11"/>
      <c r="AD2" s="9"/>
      <c r="AE2" s="9"/>
      <c r="AF2" s="9"/>
      <c r="AG2" s="9"/>
      <c r="AH2" s="9"/>
      <c r="AI2" s="9"/>
      <c r="AJ2" s="9"/>
      <c r="AK2" s="9"/>
      <c r="AL2" s="9"/>
      <c r="AM2" s="9"/>
      <c r="AN2" s="9"/>
      <c r="AO2" s="9"/>
      <c r="AP2" s="9"/>
      <c r="AQ2" s="9"/>
      <c r="AR2" s="9"/>
    </row>
    <row r="3" spans="1:44" x14ac:dyDescent="0.2">
      <c r="A3" s="29" t="str">
        <f>+A2</f>
        <v>Template Sheet</v>
      </c>
      <c r="D3" s="8" t="s">
        <v>26</v>
      </c>
      <c r="E3" s="7" t="s">
        <v>9</v>
      </c>
      <c r="F3" s="7" t="s">
        <v>9</v>
      </c>
      <c r="G3" s="7" t="s">
        <v>9</v>
      </c>
      <c r="H3" s="7" t="s">
        <v>9</v>
      </c>
      <c r="I3" s="7" t="s">
        <v>9</v>
      </c>
      <c r="J3" s="7" t="s">
        <v>9</v>
      </c>
      <c r="K3" s="7" t="s">
        <v>9</v>
      </c>
      <c r="L3" s="7" t="s">
        <v>9</v>
      </c>
      <c r="M3" s="7" t="s">
        <v>9</v>
      </c>
      <c r="N3" s="7" t="s">
        <v>9</v>
      </c>
      <c r="O3" s="7" t="s">
        <v>9</v>
      </c>
      <c r="P3" s="7" t="s">
        <v>9</v>
      </c>
      <c r="Q3" s="7" t="s">
        <v>9</v>
      </c>
      <c r="R3" s="7" t="s">
        <v>9</v>
      </c>
      <c r="S3" s="7" t="s">
        <v>9</v>
      </c>
      <c r="T3" s="7" t="s">
        <v>9</v>
      </c>
      <c r="U3" s="7" t="s">
        <v>9</v>
      </c>
      <c r="V3" s="7" t="s">
        <v>9</v>
      </c>
      <c r="W3" s="7"/>
      <c r="X3" s="7"/>
      <c r="Y3" s="7"/>
      <c r="Z3" s="7"/>
      <c r="AA3" s="7"/>
      <c r="AB3" s="7"/>
      <c r="AC3" s="7"/>
      <c r="AD3" s="9"/>
      <c r="AE3" s="9"/>
      <c r="AF3" s="9"/>
      <c r="AG3" s="9"/>
      <c r="AH3" s="9"/>
      <c r="AI3" s="9"/>
      <c r="AJ3" s="9"/>
      <c r="AK3" s="9"/>
      <c r="AL3" s="9"/>
      <c r="AM3" s="9"/>
      <c r="AN3" s="9"/>
      <c r="AO3" s="9"/>
      <c r="AP3" s="9"/>
      <c r="AQ3" s="9"/>
      <c r="AR3" s="9"/>
    </row>
    <row r="4" spans="1:44" x14ac:dyDescent="0.2">
      <c r="A4" s="30"/>
      <c r="D4" s="8" t="s">
        <v>23</v>
      </c>
      <c r="E4" s="7" t="s">
        <v>8</v>
      </c>
      <c r="F4" s="7" t="s">
        <v>8</v>
      </c>
      <c r="G4" s="7" t="s">
        <v>8</v>
      </c>
      <c r="H4" s="7" t="s">
        <v>8</v>
      </c>
      <c r="I4" s="7" t="s">
        <v>7</v>
      </c>
      <c r="J4" s="7" t="s">
        <v>7</v>
      </c>
      <c r="K4" s="7" t="s">
        <v>7</v>
      </c>
      <c r="L4" s="7" t="s">
        <v>7</v>
      </c>
      <c r="M4" s="7" t="s">
        <v>7</v>
      </c>
      <c r="N4" s="7" t="s">
        <v>7</v>
      </c>
      <c r="O4" s="7" t="s">
        <v>7</v>
      </c>
      <c r="P4" s="7" t="s">
        <v>7</v>
      </c>
      <c r="Q4" s="7" t="s">
        <v>7</v>
      </c>
      <c r="R4" s="7" t="s">
        <v>7</v>
      </c>
      <c r="S4" s="7" t="s">
        <v>7</v>
      </c>
      <c r="T4" s="7" t="s">
        <v>7</v>
      </c>
      <c r="U4" s="7" t="s">
        <v>7</v>
      </c>
      <c r="V4" s="7" t="s">
        <v>7</v>
      </c>
      <c r="W4" s="7"/>
      <c r="X4" s="7"/>
      <c r="Y4" s="7"/>
      <c r="Z4" s="7"/>
      <c r="AA4" s="7"/>
      <c r="AB4" s="7"/>
      <c r="AC4" s="7"/>
    </row>
    <row r="5" spans="1:44" x14ac:dyDescent="0.2">
      <c r="A5" s="31"/>
      <c r="D5" s="8" t="s">
        <v>24</v>
      </c>
      <c r="E5" s="10">
        <v>43101</v>
      </c>
      <c r="F5" s="10">
        <v>43466</v>
      </c>
      <c r="G5" s="10">
        <v>43831</v>
      </c>
      <c r="H5" s="10">
        <v>44197</v>
      </c>
      <c r="I5" s="10">
        <v>44562</v>
      </c>
      <c r="J5" s="10">
        <v>44927</v>
      </c>
      <c r="K5" s="10">
        <v>45292</v>
      </c>
      <c r="L5" s="10">
        <v>45658</v>
      </c>
      <c r="M5" s="10">
        <v>46023</v>
      </c>
      <c r="N5" s="10">
        <v>46388</v>
      </c>
      <c r="O5" s="10">
        <v>46753</v>
      </c>
      <c r="P5" s="10">
        <v>47119</v>
      </c>
      <c r="Q5" s="10">
        <v>47484</v>
      </c>
      <c r="R5" s="10">
        <v>47849</v>
      </c>
      <c r="S5" s="10">
        <v>48214</v>
      </c>
      <c r="T5" s="10">
        <v>48580</v>
      </c>
      <c r="U5" s="10">
        <v>48945</v>
      </c>
      <c r="V5" s="10">
        <v>49310</v>
      </c>
      <c r="W5" s="10"/>
      <c r="X5" s="10"/>
      <c r="Y5" s="10"/>
      <c r="Z5" s="10"/>
      <c r="AA5" s="10"/>
      <c r="AB5" s="10"/>
      <c r="AC5" s="10"/>
    </row>
    <row r="6" spans="1:44" x14ac:dyDescent="0.2">
      <c r="A6" s="32" t="s">
        <v>382</v>
      </c>
      <c r="D6" s="8" t="s">
        <v>25</v>
      </c>
      <c r="E6" s="10">
        <v>43465</v>
      </c>
      <c r="F6" s="10">
        <v>43830</v>
      </c>
      <c r="G6" s="10">
        <v>44196</v>
      </c>
      <c r="H6" s="10">
        <v>44561</v>
      </c>
      <c r="I6" s="10">
        <v>44926</v>
      </c>
      <c r="J6" s="10">
        <v>45291</v>
      </c>
      <c r="K6" s="10">
        <v>45657</v>
      </c>
      <c r="L6" s="10">
        <v>46022</v>
      </c>
      <c r="M6" s="10">
        <v>46387</v>
      </c>
      <c r="N6" s="10">
        <v>46752</v>
      </c>
      <c r="O6" s="10">
        <v>47118</v>
      </c>
      <c r="P6" s="10">
        <v>47483</v>
      </c>
      <c r="Q6" s="10">
        <v>47848</v>
      </c>
      <c r="R6" s="10">
        <v>48213</v>
      </c>
      <c r="S6" s="10">
        <v>48579</v>
      </c>
      <c r="T6" s="10">
        <v>48944</v>
      </c>
      <c r="U6" s="10">
        <v>49309</v>
      </c>
      <c r="V6" s="10">
        <v>49674</v>
      </c>
      <c r="W6" s="10"/>
      <c r="X6" s="10"/>
      <c r="Y6" s="10"/>
      <c r="Z6" s="10"/>
      <c r="AA6" s="10"/>
      <c r="AB6" s="10"/>
      <c r="AC6" s="10"/>
      <c r="AD6" s="9"/>
      <c r="AE6" s="9"/>
      <c r="AF6" s="9"/>
      <c r="AG6" s="9"/>
      <c r="AH6" s="9"/>
      <c r="AI6" s="9"/>
      <c r="AJ6" s="9"/>
      <c r="AK6" s="9"/>
      <c r="AL6" s="9"/>
      <c r="AM6" s="9"/>
      <c r="AN6" s="9"/>
      <c r="AO6" s="9"/>
      <c r="AP6" s="9"/>
      <c r="AQ6" s="9"/>
      <c r="AR6" s="9"/>
    </row>
    <row r="7" spans="1:44" x14ac:dyDescent="0.2">
      <c r="A7" s="32" t="s">
        <v>381</v>
      </c>
      <c r="D7" s="8"/>
      <c r="E7" s="7"/>
      <c r="F7" s="7"/>
      <c r="G7" s="7"/>
      <c r="H7" s="7"/>
      <c r="I7" s="7"/>
      <c r="J7" s="7"/>
      <c r="K7" s="7"/>
      <c r="L7" s="7"/>
      <c r="M7" s="7"/>
      <c r="N7" s="7"/>
      <c r="O7" s="7"/>
      <c r="P7" s="7"/>
      <c r="Q7" s="7"/>
      <c r="R7" s="7"/>
      <c r="S7" s="7"/>
      <c r="T7" s="7"/>
      <c r="U7" s="7"/>
      <c r="V7" s="7"/>
      <c r="W7" s="7"/>
      <c r="X7" s="7"/>
      <c r="Y7" s="7"/>
      <c r="Z7" s="7"/>
      <c r="AA7" s="7"/>
      <c r="AB7" s="7"/>
      <c r="AC7" s="7"/>
      <c r="AD7" s="9"/>
      <c r="AE7" s="9"/>
      <c r="AF7" s="9"/>
      <c r="AG7" s="9"/>
      <c r="AH7" s="9"/>
      <c r="AI7" s="9"/>
      <c r="AJ7" s="9"/>
      <c r="AK7" s="9"/>
      <c r="AL7" s="9"/>
      <c r="AM7" s="9"/>
      <c r="AN7" s="9"/>
      <c r="AO7" s="9"/>
      <c r="AP7" s="9"/>
      <c r="AQ7" s="9"/>
      <c r="AR7" s="9"/>
    </row>
    <row r="8" spans="1:44" x14ac:dyDescent="0.2">
      <c r="D8" s="8"/>
      <c r="E8" s="7"/>
      <c r="F8" s="7"/>
      <c r="G8" s="7"/>
      <c r="H8" s="7"/>
      <c r="I8" s="7"/>
      <c r="J8" s="7"/>
      <c r="K8" s="7"/>
      <c r="L8" s="7"/>
      <c r="M8" s="7"/>
      <c r="N8" s="7"/>
      <c r="O8" s="7"/>
      <c r="P8" s="7"/>
      <c r="Q8" s="7"/>
      <c r="R8" s="7"/>
      <c r="S8" s="7"/>
      <c r="T8" s="7"/>
      <c r="U8" s="7"/>
      <c r="V8" s="7"/>
      <c r="W8" s="7"/>
      <c r="X8" s="7"/>
      <c r="Y8" s="7"/>
      <c r="Z8" s="7"/>
      <c r="AA8" s="7"/>
      <c r="AB8" s="7"/>
      <c r="AC8" s="7"/>
      <c r="AD8" s="9"/>
      <c r="AE8" s="9"/>
      <c r="AF8" s="9"/>
      <c r="AG8" s="9"/>
      <c r="AH8" s="9"/>
      <c r="AI8" s="9"/>
      <c r="AJ8" s="9"/>
      <c r="AK8" s="9"/>
      <c r="AL8" s="9"/>
      <c r="AM8" s="9"/>
      <c r="AN8" s="9"/>
      <c r="AO8" s="9"/>
      <c r="AP8" s="9"/>
      <c r="AQ8" s="9"/>
      <c r="AR8" s="9"/>
    </row>
    <row r="9" spans="1:44" x14ac:dyDescent="0.2">
      <c r="D9" s="8"/>
      <c r="E9" s="7"/>
      <c r="F9" s="7"/>
      <c r="G9" s="7"/>
      <c r="H9" s="7"/>
      <c r="I9" s="7"/>
      <c r="J9" s="7"/>
      <c r="K9" s="7"/>
      <c r="L9" s="7"/>
      <c r="M9" s="7"/>
      <c r="N9" s="7"/>
      <c r="O9" s="7"/>
      <c r="P9" s="7"/>
      <c r="Q9" s="7"/>
      <c r="R9" s="7"/>
      <c r="S9" s="7"/>
      <c r="T9" s="7"/>
      <c r="U9" s="7"/>
      <c r="V9" s="7"/>
      <c r="W9" s="7"/>
      <c r="X9" s="7"/>
      <c r="Y9" s="7"/>
      <c r="Z9" s="7"/>
      <c r="AA9" s="7"/>
      <c r="AB9" s="7"/>
      <c r="AC9" s="7"/>
    </row>
    <row r="11" spans="1:44" x14ac:dyDescent="0.2">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 x14ac:dyDescent="0.2">
      <c r="A12" s="26" t="s">
        <v>6</v>
      </c>
      <c r="B12" s="33"/>
      <c r="C12" s="33"/>
      <c r="D12" s="33"/>
      <c r="E12" s="33"/>
      <c r="F12" s="33"/>
      <c r="G12" s="33"/>
      <c r="H12" s="33"/>
      <c r="I12" s="33"/>
      <c r="J12" s="33"/>
      <c r="K12" s="33"/>
      <c r="L12" s="33"/>
      <c r="M12" s="33"/>
      <c r="N12" s="33"/>
      <c r="O12" s="33"/>
      <c r="P12" s="33"/>
      <c r="Q12" s="33"/>
      <c r="R12" s="33"/>
      <c r="S12" s="33"/>
      <c r="T12" s="33"/>
      <c r="U12" s="33"/>
      <c r="V12" s="33"/>
    </row>
    <row r="13" spans="1:44" ht="12" x14ac:dyDescent="0.25">
      <c r="D13" s="6"/>
      <c r="E13" s="6"/>
      <c r="F13" s="6"/>
      <c r="G13" s="5"/>
      <c r="H13" s="5"/>
      <c r="I13" s="5"/>
      <c r="J13" s="5"/>
      <c r="K13" s="5"/>
      <c r="L13" s="5"/>
      <c r="M13" s="5"/>
      <c r="N13" s="5"/>
      <c r="O13" s="5"/>
      <c r="P13" s="5"/>
      <c r="Q13" s="5"/>
      <c r="R13" s="5"/>
      <c r="S13" s="5"/>
      <c r="T13" s="1"/>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2" x14ac:dyDescent="0.25">
      <c r="A14" s="4"/>
      <c r="D14" s="2"/>
      <c r="E14" s="2"/>
      <c r="F14" s="2"/>
      <c r="T14" s="1"/>
    </row>
    <row r="15" spans="1:44" ht="12" x14ac:dyDescent="0.25">
      <c r="A15" t="s">
        <v>5</v>
      </c>
      <c r="T15" s="1"/>
    </row>
    <row r="16" spans="1:44" ht="12" x14ac:dyDescent="0.25">
      <c r="A16" t="s">
        <v>4</v>
      </c>
      <c r="T16" s="1"/>
    </row>
    <row r="17" spans="1:20" ht="12" x14ac:dyDescent="0.25">
      <c r="A17" s="3" t="s">
        <v>3</v>
      </c>
      <c r="T17" s="1"/>
    </row>
    <row r="18" spans="1:20" ht="12" x14ac:dyDescent="0.25">
      <c r="T18" s="1"/>
    </row>
    <row r="19" spans="1:20" ht="12" x14ac:dyDescent="0.25">
      <c r="A19" t="s">
        <v>2</v>
      </c>
      <c r="T19" s="1"/>
    </row>
    <row r="20" spans="1:20" ht="12" x14ac:dyDescent="0.25">
      <c r="A20" t="s">
        <v>1</v>
      </c>
      <c r="T20" s="1"/>
    </row>
    <row r="21" spans="1:20" ht="12" x14ac:dyDescent="0.25">
      <c r="A21" t="s">
        <v>0</v>
      </c>
      <c r="T21" s="1"/>
    </row>
    <row r="22" spans="1:20" ht="12" x14ac:dyDescent="0.25">
      <c r="D22" s="2"/>
      <c r="E22" s="2"/>
      <c r="F22" s="2"/>
      <c r="T22" s="1"/>
    </row>
    <row r="23" spans="1:20" ht="12" x14ac:dyDescent="0.25">
      <c r="T23" s="1"/>
    </row>
    <row r="24" spans="1:20" ht="12" x14ac:dyDescent="0.25">
      <c r="T24" s="1"/>
    </row>
    <row r="25" spans="1:20" ht="12" x14ac:dyDescent="0.25">
      <c r="T25" s="1"/>
    </row>
    <row r="26" spans="1:20" ht="12" x14ac:dyDescent="0.25">
      <c r="T26" s="1"/>
    </row>
    <row r="27" spans="1:20" ht="12" x14ac:dyDescent="0.25">
      <c r="T27" s="1"/>
    </row>
    <row r="28" spans="1:20" ht="12" x14ac:dyDescent="0.25">
      <c r="T28" s="1"/>
    </row>
    <row r="29" spans="1:20" ht="12" x14ac:dyDescent="0.25">
      <c r="T29" s="1"/>
    </row>
    <row r="30" spans="1:20" ht="12" x14ac:dyDescent="0.25">
      <c r="T30" s="1"/>
    </row>
    <row r="31" spans="1:20" ht="12" x14ac:dyDescent="0.25">
      <c r="T31" s="1"/>
    </row>
  </sheetData>
  <pageMargins left="0.75" right="0.75" top="1" bottom="1" header="0.5" footer="0.5"/>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AC63"/>
  <sheetViews>
    <sheetView showGridLines="0" zoomScaleNormal="100" workbookViewId="0">
      <selection activeCell="G61" sqref="A55:G61"/>
    </sheetView>
  </sheetViews>
  <sheetFormatPr defaultRowHeight="11.4" x14ac:dyDescent="0.2"/>
  <cols>
    <col min="1" max="1" width="41.375" customWidth="1"/>
    <col min="2" max="7" width="15.75" customWidth="1"/>
    <col min="8" max="8" width="9" customWidth="1"/>
  </cols>
  <sheetData>
    <row r="1" spans="1:29" ht="15" x14ac:dyDescent="0.25">
      <c r="A1" s="27"/>
      <c r="B1" s="36"/>
      <c r="C1" s="36"/>
      <c r="D1" s="36"/>
      <c r="E1" s="36"/>
      <c r="F1" s="36"/>
      <c r="G1" s="36"/>
      <c r="H1" s="1"/>
      <c r="I1" s="1"/>
      <c r="J1" s="1"/>
      <c r="K1" s="1"/>
      <c r="L1" s="1"/>
      <c r="M1" s="1"/>
      <c r="N1" s="1"/>
      <c r="O1" s="1"/>
      <c r="P1" s="1"/>
      <c r="Q1" s="1"/>
      <c r="R1" s="1"/>
      <c r="S1" s="1"/>
      <c r="T1" s="1"/>
      <c r="U1" s="1"/>
      <c r="V1" s="1"/>
      <c r="W1" s="1"/>
      <c r="X1" s="1"/>
      <c r="Y1" s="1"/>
      <c r="Z1" s="1"/>
      <c r="AA1" s="1"/>
      <c r="AB1" s="1"/>
      <c r="AC1" s="1"/>
    </row>
    <row r="2" spans="1:29" ht="15.6" x14ac:dyDescent="0.3">
      <c r="A2" s="28" t="s">
        <v>184</v>
      </c>
      <c r="B2" s="37">
        <v>2021</v>
      </c>
      <c r="C2" s="37">
        <f>+B2+1</f>
        <v>2022</v>
      </c>
      <c r="D2" s="37">
        <f>+C2+1</f>
        <v>2023</v>
      </c>
      <c r="E2" s="37">
        <f>+D2+1</f>
        <v>2024</v>
      </c>
      <c r="F2" s="37">
        <f>+E2+1</f>
        <v>2025</v>
      </c>
      <c r="G2" s="37">
        <f>+F2+1</f>
        <v>2026</v>
      </c>
      <c r="H2" s="11"/>
      <c r="I2" s="11"/>
      <c r="J2" s="11"/>
      <c r="K2" s="11"/>
      <c r="L2" s="11"/>
      <c r="M2" s="11"/>
      <c r="N2" s="11"/>
      <c r="O2" s="9"/>
      <c r="P2" s="9"/>
      <c r="Q2" s="9"/>
      <c r="R2" s="9"/>
      <c r="S2" s="9"/>
      <c r="T2" s="9"/>
      <c r="U2" s="9"/>
      <c r="V2" s="9"/>
      <c r="W2" s="9"/>
      <c r="X2" s="9"/>
      <c r="Y2" s="9"/>
      <c r="Z2" s="9"/>
      <c r="AA2" s="9"/>
      <c r="AB2" s="9"/>
      <c r="AC2" s="9"/>
    </row>
    <row r="3" spans="1:29" x14ac:dyDescent="0.2">
      <c r="A3" s="29" t="str">
        <f>+A2</f>
        <v>Cash Flow Statement</v>
      </c>
      <c r="B3" s="38"/>
      <c r="C3" s="38"/>
      <c r="D3" s="38"/>
      <c r="E3" s="38"/>
      <c r="F3" s="38"/>
      <c r="G3" s="38"/>
      <c r="H3" s="7"/>
      <c r="I3" s="7"/>
      <c r="J3" s="7"/>
      <c r="K3" s="7"/>
      <c r="L3" s="7"/>
      <c r="M3" s="7"/>
      <c r="N3" s="7"/>
      <c r="O3" s="9"/>
      <c r="P3" s="9"/>
      <c r="Q3" s="9"/>
      <c r="R3" s="9"/>
      <c r="S3" s="9"/>
      <c r="T3" s="9"/>
      <c r="U3" s="9"/>
      <c r="V3" s="9"/>
      <c r="W3" s="9"/>
      <c r="X3" s="9"/>
      <c r="Y3" s="9"/>
      <c r="Z3" s="9"/>
      <c r="AA3" s="9"/>
      <c r="AB3" s="9"/>
      <c r="AC3" s="9"/>
    </row>
    <row r="4" spans="1:29" x14ac:dyDescent="0.2">
      <c r="A4" s="30"/>
      <c r="B4" s="38"/>
      <c r="C4" s="38"/>
      <c r="D4" s="38"/>
      <c r="E4" s="38"/>
      <c r="F4" s="38"/>
      <c r="G4" s="38"/>
      <c r="H4" s="7"/>
      <c r="I4" s="7"/>
      <c r="J4" s="7"/>
      <c r="K4" s="7"/>
      <c r="L4" s="7"/>
      <c r="M4" s="7"/>
      <c r="N4" s="7"/>
    </row>
    <row r="5" spans="1:29" x14ac:dyDescent="0.2">
      <c r="A5" s="31"/>
      <c r="B5" s="39"/>
      <c r="C5" s="39"/>
      <c r="D5" s="39"/>
      <c r="E5" s="39"/>
      <c r="F5" s="39"/>
      <c r="G5" s="39"/>
      <c r="H5" s="10"/>
      <c r="I5" s="10"/>
      <c r="J5" s="10"/>
      <c r="K5" s="10"/>
      <c r="L5" s="10"/>
      <c r="M5" s="10"/>
      <c r="N5" s="10"/>
    </row>
    <row r="6" spans="1:29" x14ac:dyDescent="0.2">
      <c r="A6" s="32" t="s">
        <v>382</v>
      </c>
      <c r="B6" s="39"/>
      <c r="C6" s="39"/>
      <c r="D6" s="39"/>
      <c r="E6" s="39"/>
      <c r="F6" s="39"/>
      <c r="G6" s="39"/>
      <c r="H6" s="10"/>
      <c r="I6" s="10"/>
      <c r="J6" s="10"/>
      <c r="K6" s="10"/>
      <c r="L6" s="10"/>
      <c r="M6" s="10"/>
      <c r="N6" s="10"/>
      <c r="O6" s="9"/>
      <c r="P6" s="9"/>
      <c r="Q6" s="9"/>
      <c r="R6" s="9"/>
      <c r="S6" s="9"/>
      <c r="T6" s="9"/>
      <c r="U6" s="9"/>
      <c r="V6" s="9"/>
      <c r="W6" s="9"/>
      <c r="X6" s="9"/>
      <c r="Y6" s="9"/>
      <c r="Z6" s="9"/>
      <c r="AA6" s="9"/>
      <c r="AB6" s="9"/>
      <c r="AC6" s="9"/>
    </row>
    <row r="7" spans="1:29" x14ac:dyDescent="0.2">
      <c r="A7" s="32" t="s">
        <v>381</v>
      </c>
      <c r="B7" s="38"/>
      <c r="C7" s="38"/>
      <c r="D7" s="38"/>
      <c r="E7" s="38"/>
      <c r="F7" s="38"/>
      <c r="G7" s="38"/>
      <c r="H7" s="7"/>
      <c r="I7" s="7"/>
      <c r="J7" s="7"/>
      <c r="K7" s="7"/>
      <c r="L7" s="7"/>
      <c r="M7" s="7"/>
      <c r="N7" s="7"/>
      <c r="O7" s="9"/>
      <c r="P7" s="9"/>
      <c r="Q7" s="9"/>
      <c r="R7" s="9"/>
      <c r="S7" s="9"/>
      <c r="T7" s="9"/>
      <c r="U7" s="9"/>
      <c r="V7" s="9"/>
      <c r="W7" s="9"/>
      <c r="X7" s="9"/>
      <c r="Y7" s="9"/>
      <c r="Z7" s="9"/>
      <c r="AA7" s="9"/>
      <c r="AB7" s="9"/>
      <c r="AC7" s="9"/>
    </row>
    <row r="8" spans="1:29" x14ac:dyDescent="0.2">
      <c r="B8" s="38"/>
      <c r="C8" s="38"/>
      <c r="D8" s="38"/>
      <c r="E8" s="38"/>
      <c r="F8" s="38"/>
      <c r="G8" s="38"/>
      <c r="H8" s="7"/>
      <c r="I8" s="7"/>
      <c r="J8" s="7"/>
      <c r="K8" s="7"/>
      <c r="L8" s="7"/>
      <c r="M8" s="7"/>
      <c r="N8" s="7"/>
      <c r="O8" s="9"/>
      <c r="P8" s="9"/>
      <c r="Q8" s="9"/>
      <c r="R8" s="9"/>
      <c r="S8" s="9"/>
      <c r="T8" s="9"/>
      <c r="U8" s="9"/>
      <c r="V8" s="9"/>
      <c r="W8" s="9"/>
      <c r="X8" s="9"/>
      <c r="Y8" s="9"/>
      <c r="Z8" s="9"/>
      <c r="AA8" s="9"/>
      <c r="AB8" s="9"/>
      <c r="AC8" s="9"/>
    </row>
    <row r="9" spans="1:29" x14ac:dyDescent="0.2">
      <c r="B9" s="38"/>
      <c r="C9" s="38"/>
      <c r="D9" s="38"/>
      <c r="E9" s="38"/>
      <c r="F9" s="38"/>
      <c r="G9" s="38"/>
      <c r="H9" s="7"/>
      <c r="I9" s="7"/>
      <c r="J9" s="7"/>
      <c r="K9" s="7"/>
      <c r="L9" s="7"/>
      <c r="M9" s="7"/>
      <c r="N9" s="7"/>
    </row>
    <row r="10" spans="1:29" x14ac:dyDescent="0.2">
      <c r="B10" s="40"/>
      <c r="C10" s="40"/>
      <c r="D10" s="40"/>
      <c r="E10" s="40"/>
      <c r="F10" s="40"/>
      <c r="G10" s="40"/>
    </row>
    <row r="11" spans="1:29" x14ac:dyDescent="0.2">
      <c r="B11" s="41"/>
      <c r="C11" s="41"/>
      <c r="D11" s="41"/>
      <c r="E11" s="41"/>
      <c r="F11" s="41"/>
      <c r="G11" s="41"/>
      <c r="H11" s="5"/>
      <c r="I11" s="5"/>
      <c r="J11" s="5"/>
      <c r="K11" s="5"/>
      <c r="L11" s="5"/>
      <c r="M11" s="5"/>
      <c r="N11" s="5"/>
      <c r="O11" s="5"/>
      <c r="P11" s="5"/>
      <c r="Q11" s="5"/>
      <c r="R11" s="5"/>
      <c r="S11" s="5"/>
      <c r="T11" s="5"/>
      <c r="U11" s="5"/>
      <c r="V11" s="5"/>
      <c r="W11" s="5"/>
      <c r="X11" s="5"/>
      <c r="Y11" s="5"/>
      <c r="Z11" s="5"/>
      <c r="AA11" s="5"/>
      <c r="AB11" s="5"/>
      <c r="AC11" s="5"/>
    </row>
    <row r="12" spans="1:29" ht="12" x14ac:dyDescent="0.25">
      <c r="A12" s="269" t="s">
        <v>325</v>
      </c>
      <c r="B12" s="269">
        <f t="shared" ref="B12:G12" si="0">B2</f>
        <v>2021</v>
      </c>
      <c r="C12" s="269">
        <f t="shared" si="0"/>
        <v>2022</v>
      </c>
      <c r="D12" s="269">
        <f t="shared" si="0"/>
        <v>2023</v>
      </c>
      <c r="E12" s="269">
        <f t="shared" si="0"/>
        <v>2024</v>
      </c>
      <c r="F12" s="269">
        <f t="shared" si="0"/>
        <v>2025</v>
      </c>
      <c r="G12" s="269">
        <f t="shared" si="0"/>
        <v>2026</v>
      </c>
      <c r="H12" s="74"/>
      <c r="I12" s="74"/>
      <c r="J12" s="74"/>
      <c r="K12" s="74"/>
      <c r="L12" s="74"/>
    </row>
    <row r="13" spans="1:29" x14ac:dyDescent="0.2">
      <c r="A13" s="61"/>
      <c r="B13" s="306"/>
      <c r="C13" s="306"/>
      <c r="D13" s="306"/>
      <c r="E13" s="306"/>
      <c r="F13" s="306"/>
      <c r="G13" s="306"/>
      <c r="H13" s="5"/>
      <c r="I13" s="5"/>
      <c r="J13" s="5"/>
      <c r="K13" s="5"/>
      <c r="L13" s="5"/>
      <c r="M13" s="5"/>
      <c r="N13" s="5"/>
      <c r="O13" s="5"/>
      <c r="P13" s="5"/>
      <c r="Q13" s="5"/>
      <c r="R13" s="5"/>
      <c r="S13" s="5"/>
      <c r="T13" s="5"/>
      <c r="U13" s="5"/>
      <c r="V13" s="5"/>
      <c r="W13" s="5"/>
      <c r="X13" s="5"/>
      <c r="Y13" s="5"/>
      <c r="Z13" s="5"/>
      <c r="AA13" s="5"/>
      <c r="AB13" s="5"/>
      <c r="AC13" s="5"/>
    </row>
    <row r="14" spans="1:29" s="245" customFormat="1" ht="3" customHeight="1" x14ac:dyDescent="0.25">
      <c r="A14" s="285"/>
      <c r="B14" s="282"/>
      <c r="C14" s="282"/>
      <c r="D14" s="282"/>
      <c r="E14" s="282"/>
      <c r="F14" s="282"/>
      <c r="G14" s="282"/>
      <c r="H14" s="262"/>
      <c r="I14" s="262"/>
      <c r="J14" s="248"/>
      <c r="K14" s="262"/>
      <c r="L14" s="262"/>
      <c r="M14" s="262"/>
      <c r="N14" s="248"/>
    </row>
    <row r="15" spans="1:29" ht="3" customHeight="1" x14ac:dyDescent="0.25">
      <c r="A15" s="286"/>
      <c r="B15" s="283"/>
      <c r="C15" s="283"/>
      <c r="D15" s="283"/>
      <c r="E15" s="283"/>
      <c r="F15" s="283"/>
      <c r="G15" s="283"/>
      <c r="H15" s="262"/>
      <c r="I15" s="262"/>
      <c r="J15" s="248"/>
      <c r="K15" s="262"/>
      <c r="L15" s="262"/>
      <c r="M15" s="262"/>
      <c r="N15" s="248"/>
    </row>
    <row r="16" spans="1:29" s="19" customFormat="1" ht="12" x14ac:dyDescent="0.25">
      <c r="A16" s="264" t="s">
        <v>20</v>
      </c>
      <c r="B16" s="302">
        <f ca="1">+'Profit &amp; Loss Account'!B65</f>
        <v>-613063.63926940633</v>
      </c>
      <c r="C16" s="302">
        <f ca="1">+'Profit &amp; Loss Account'!C65</f>
        <v>6106333.7469700165</v>
      </c>
      <c r="D16" s="302">
        <f ca="1">+'Profit &amp; Loss Account'!D65</f>
        <v>52182134.564156331</v>
      </c>
      <c r="E16" s="302">
        <f ca="1">+'Profit &amp; Loss Account'!E65</f>
        <v>123765954.96349953</v>
      </c>
      <c r="F16" s="302">
        <f ca="1">+'Profit &amp; Loss Account'!F65</f>
        <v>191542275.23814866</v>
      </c>
      <c r="G16" s="302">
        <f ca="1">+'Profit &amp; Loss Account'!G65</f>
        <v>258393989.00987837</v>
      </c>
    </row>
    <row r="17" spans="1:20" s="245" customFormat="1" ht="3" customHeight="1" x14ac:dyDescent="0.25">
      <c r="A17" s="285"/>
      <c r="B17" s="282"/>
      <c r="C17" s="282"/>
      <c r="D17" s="282"/>
      <c r="E17" s="282"/>
      <c r="F17" s="282"/>
      <c r="G17" s="282"/>
      <c r="H17" s="262"/>
      <c r="I17" s="262"/>
      <c r="J17" s="248"/>
      <c r="K17" s="262"/>
      <c r="L17" s="262"/>
      <c r="M17" s="262"/>
      <c r="N17" s="248"/>
    </row>
    <row r="18" spans="1:20" ht="3" customHeight="1" x14ac:dyDescent="0.25">
      <c r="A18" s="286"/>
      <c r="B18" s="283"/>
      <c r="C18" s="283"/>
      <c r="D18" s="283"/>
      <c r="E18" s="283"/>
      <c r="F18" s="283"/>
      <c r="G18" s="283"/>
      <c r="H18" s="262"/>
      <c r="I18" s="262"/>
      <c r="J18" s="248"/>
      <c r="K18" s="262"/>
      <c r="L18" s="262"/>
      <c r="M18" s="262"/>
      <c r="N18" s="248"/>
    </row>
    <row r="19" spans="1:20" x14ac:dyDescent="0.2">
      <c r="A19" s="239" t="s">
        <v>326</v>
      </c>
      <c r="B19" s="304">
        <f>-'Profit &amp; Loss Account'!B60</f>
        <v>51473.333333333336</v>
      </c>
      <c r="C19" s="304">
        <f>-'Profit &amp; Loss Account'!C60</f>
        <v>162536.96022781479</v>
      </c>
      <c r="D19" s="304">
        <f ca="1">-'Profit &amp; Loss Account'!D60</f>
        <v>3932556.2655754923</v>
      </c>
      <c r="E19" s="304">
        <f ca="1">-'Profit &amp; Loss Account'!E60</f>
        <v>4303749.7209465895</v>
      </c>
      <c r="F19" s="304">
        <f ca="1">-'Profit &amp; Loss Account'!F60</f>
        <v>4624320.6545708533</v>
      </c>
      <c r="G19" s="304">
        <f ca="1">-'Profit &amp; Loss Account'!G60</f>
        <v>5071589.2961296663</v>
      </c>
    </row>
    <row r="20" spans="1:20" x14ac:dyDescent="0.2">
      <c r="A20" s="239" t="s">
        <v>327</v>
      </c>
      <c r="B20" s="304">
        <f>+'Profit &amp; Loss Account'!B76</f>
        <v>0</v>
      </c>
      <c r="C20" s="304">
        <f ca="1">+'Profit &amp; Loss Account'!C76</f>
        <v>171623.94627397257</v>
      </c>
      <c r="D20" s="304">
        <f ca="1">+'Profit &amp; Loss Account'!D76</f>
        <v>-1788946.3695397913</v>
      </c>
      <c r="E20" s="304">
        <f ca="1">+'Profit &amp; Loss Account'!E76</f>
        <v>-14885482.338193323</v>
      </c>
      <c r="F20" s="304">
        <f ca="1">+'Profit &amp; Loss Account'!F76</f>
        <v>-35213016.47826349</v>
      </c>
      <c r="G20" s="304">
        <f ca="1">+'Profit &amp; Loss Account'!G76</f>
        <v>-54608561.242176518</v>
      </c>
    </row>
    <row r="21" spans="1:20" x14ac:dyDescent="0.2">
      <c r="A21" s="239" t="s">
        <v>328</v>
      </c>
      <c r="B21" s="304">
        <f>'Profit &amp; Loss Account'!B70</f>
        <v>0</v>
      </c>
      <c r="C21" s="304">
        <f>'Profit &amp; Loss Account'!C70</f>
        <v>0</v>
      </c>
      <c r="D21" s="304">
        <f>'Profit &amp; Loss Account'!D70</f>
        <v>0</v>
      </c>
      <c r="E21" s="304">
        <f>'Profit &amp; Loss Account'!E70</f>
        <v>0</v>
      </c>
      <c r="F21" s="304">
        <f>'Profit &amp; Loss Account'!F70</f>
        <v>0</v>
      </c>
      <c r="G21" s="304">
        <f>'Profit &amp; Loss Account'!G70</f>
        <v>0</v>
      </c>
    </row>
    <row r="22" spans="1:20" s="245" customFormat="1" ht="3" customHeight="1" x14ac:dyDescent="0.25">
      <c r="A22" s="285"/>
      <c r="B22" s="282"/>
      <c r="C22" s="282"/>
      <c r="D22" s="282"/>
      <c r="E22" s="282"/>
      <c r="F22" s="282"/>
      <c r="G22" s="282"/>
      <c r="H22" s="262"/>
      <c r="I22" s="262"/>
      <c r="J22" s="248"/>
      <c r="K22" s="262"/>
      <c r="L22" s="262"/>
      <c r="M22" s="262"/>
      <c r="N22" s="248"/>
    </row>
    <row r="23" spans="1:20" ht="3" customHeight="1" x14ac:dyDescent="0.25">
      <c r="A23" s="286"/>
      <c r="B23" s="283"/>
      <c r="C23" s="283"/>
      <c r="D23" s="283"/>
      <c r="E23" s="283"/>
      <c r="F23" s="283"/>
      <c r="G23" s="283"/>
      <c r="H23" s="262"/>
      <c r="I23" s="262"/>
      <c r="J23" s="248"/>
      <c r="K23" s="262"/>
      <c r="L23" s="262"/>
      <c r="M23" s="262"/>
      <c r="N23" s="248"/>
    </row>
    <row r="24" spans="1:20" ht="12" x14ac:dyDescent="0.25">
      <c r="A24" s="264" t="s">
        <v>33</v>
      </c>
      <c r="B24" s="302">
        <f t="shared" ref="B24:G24" ca="1" si="1">+SUM(B16:B21)</f>
        <v>-561590.30593607295</v>
      </c>
      <c r="C24" s="302">
        <f t="shared" ca="1" si="1"/>
        <v>6440494.6534718033</v>
      </c>
      <c r="D24" s="302">
        <f t="shared" ca="1" si="1"/>
        <v>54325744.460192032</v>
      </c>
      <c r="E24" s="302">
        <f t="shared" ca="1" si="1"/>
        <v>113184222.3462528</v>
      </c>
      <c r="F24" s="302">
        <f t="shared" ca="1" si="1"/>
        <v>160953579.41445601</v>
      </c>
      <c r="G24" s="302">
        <f t="shared" ca="1" si="1"/>
        <v>208857017.06383151</v>
      </c>
    </row>
    <row r="25" spans="1:20" s="245" customFormat="1" ht="3" customHeight="1" x14ac:dyDescent="0.25">
      <c r="A25" s="285"/>
      <c r="B25" s="282"/>
      <c r="C25" s="282"/>
      <c r="D25" s="282"/>
      <c r="E25" s="282"/>
      <c r="F25" s="282"/>
      <c r="G25" s="282"/>
      <c r="H25" s="262"/>
      <c r="I25" s="262"/>
      <c r="J25" s="248"/>
      <c r="K25" s="262"/>
      <c r="L25" s="262"/>
      <c r="M25" s="262"/>
      <c r="N25" s="248"/>
    </row>
    <row r="26" spans="1:20" ht="3" customHeight="1" x14ac:dyDescent="0.25">
      <c r="A26" s="286"/>
      <c r="B26" s="283"/>
      <c r="C26" s="283"/>
      <c r="D26" s="283"/>
      <c r="E26" s="283"/>
      <c r="F26" s="283"/>
      <c r="G26" s="283"/>
      <c r="H26" s="262"/>
      <c r="I26" s="262"/>
      <c r="J26" s="248"/>
      <c r="K26" s="262"/>
      <c r="L26" s="262"/>
      <c r="M26" s="262"/>
      <c r="N26" s="248"/>
    </row>
    <row r="27" spans="1:20" x14ac:dyDescent="0.2">
      <c r="A27" s="239" t="s">
        <v>329</v>
      </c>
      <c r="B27" s="304">
        <f>-('Balance Sheet'!C27-'Balance Sheet'!B27)</f>
        <v>52055.031819652671</v>
      </c>
      <c r="C27" s="304">
        <f>-('Balance Sheet'!D27-'Balance Sheet'!C27)</f>
        <v>-864209.88719826308</v>
      </c>
      <c r="D27" s="304">
        <f>-('Balance Sheet'!E27-'Balance Sheet'!D27)</f>
        <v>-5127145.6050734082</v>
      </c>
      <c r="E27" s="304">
        <f>-('Balance Sheet'!F27-'Balance Sheet'!E27)</f>
        <v>-8632885.6107430477</v>
      </c>
      <c r="F27" s="304">
        <f>-('Balance Sheet'!G27-'Balance Sheet'!F27)</f>
        <v>-8005150.0662532002</v>
      </c>
      <c r="G27" s="304">
        <f>-('Balance Sheet'!H27-'Balance Sheet'!G27)</f>
        <v>-9480123.3448231369</v>
      </c>
    </row>
    <row r="28" spans="1:20" x14ac:dyDescent="0.2">
      <c r="A28" s="239" t="s">
        <v>330</v>
      </c>
      <c r="B28" s="304">
        <f>-('Balance Sheet'!C20-'Balance Sheet'!B20)+'Profit &amp; Loss Account'!B60</f>
        <v>-257366.66666666666</v>
      </c>
      <c r="C28" s="304">
        <f>-('Balance Sheet'!D20-'Balance Sheet'!C20)+'Profit &amp; Loss Account'!C60</f>
        <v>-580051.46780574066</v>
      </c>
      <c r="D28" s="304">
        <f ca="1">-('Balance Sheet'!E20-'Balance Sheet'!D20)+'Profit &amp; Loss Account'!D60</f>
        <v>-30874017.336396743</v>
      </c>
      <c r="E28" s="304">
        <f ca="1">-('Balance Sheet'!F20-'Balance Sheet'!E20)+'Profit &amp; Loss Account'!E60</f>
        <v>-5894427.5178499985</v>
      </c>
      <c r="F28" s="304">
        <f ca="1">-('Balance Sheet'!G20-'Balance Sheet'!F20)+'Profit &amp; Loss Account'!F60</f>
        <v>-8905249.4628268052</v>
      </c>
      <c r="G28" s="304">
        <f ca="1">-('Balance Sheet'!H20-'Balance Sheet'!G20)+'Profit &amp; Loss Account'!G60</f>
        <v>-12317447.338742185</v>
      </c>
      <c r="I28" s="73"/>
      <c r="J28" s="73"/>
      <c r="K28" s="73"/>
      <c r="L28" s="73"/>
      <c r="M28" s="73"/>
      <c r="N28" s="73"/>
      <c r="O28" s="73"/>
      <c r="P28" s="73"/>
      <c r="Q28" s="73"/>
      <c r="R28" s="73"/>
      <c r="S28" s="73"/>
      <c r="T28" s="73"/>
    </row>
    <row r="29" spans="1:20" x14ac:dyDescent="0.2">
      <c r="A29" s="239" t="s">
        <v>331</v>
      </c>
      <c r="B29" s="304">
        <f ca="1">-('Balance Sheet'!C36-'Balance Sheet'!B36)</f>
        <v>-279861.94917134522</v>
      </c>
      <c r="C29" s="304">
        <f ca="1">-('Balance Sheet'!D36-'Balance Sheet'!C36)</f>
        <v>3900551.3438413758</v>
      </c>
      <c r="D29" s="304">
        <f ca="1">-('Balance Sheet'!E36-'Balance Sheet'!D36)</f>
        <v>16846602.558444202</v>
      </c>
      <c r="E29" s="304">
        <f ca="1">-('Balance Sheet'!F36-'Balance Sheet'!E36)</f>
        <v>33741630.838862978</v>
      </c>
      <c r="F29" s="304">
        <f ca="1">-('Balance Sheet'!G36-'Balance Sheet'!F36)</f>
        <v>20031697.535773695</v>
      </c>
      <c r="G29" s="304">
        <f ca="1">-('Balance Sheet'!H36-'Balance Sheet'!G36)</f>
        <v>23354942.970219299</v>
      </c>
    </row>
    <row r="30" spans="1:20" s="245" customFormat="1" ht="3" customHeight="1" x14ac:dyDescent="0.25">
      <c r="A30" s="285"/>
      <c r="B30" s="282"/>
      <c r="C30" s="282"/>
      <c r="D30" s="282"/>
      <c r="E30" s="282"/>
      <c r="F30" s="282"/>
      <c r="G30" s="282"/>
      <c r="H30" s="262"/>
      <c r="I30" s="262"/>
      <c r="J30" s="248"/>
      <c r="K30" s="262"/>
      <c r="L30" s="262"/>
      <c r="M30" s="262"/>
      <c r="N30" s="248"/>
    </row>
    <row r="31" spans="1:20" ht="3" customHeight="1" x14ac:dyDescent="0.25">
      <c r="A31" s="286"/>
      <c r="B31" s="283"/>
      <c r="C31" s="283"/>
      <c r="D31" s="283"/>
      <c r="E31" s="283"/>
      <c r="F31" s="283"/>
      <c r="G31" s="283"/>
      <c r="H31" s="262"/>
      <c r="I31" s="262"/>
      <c r="J31" s="248"/>
      <c r="K31" s="262"/>
      <c r="L31" s="262"/>
      <c r="M31" s="262"/>
      <c r="N31" s="248"/>
    </row>
    <row r="32" spans="1:20" ht="12" x14ac:dyDescent="0.25">
      <c r="A32" s="264" t="s">
        <v>332</v>
      </c>
      <c r="B32" s="302">
        <f t="shared" ref="B32:G32" ca="1" si="2">B24+SUM(B27:B29)</f>
        <v>-1046763.8899544321</v>
      </c>
      <c r="C32" s="302">
        <f t="shared" ca="1" si="2"/>
        <v>8896784.6423091758</v>
      </c>
      <c r="D32" s="302">
        <f t="shared" ca="1" si="2"/>
        <v>35171184.07716608</v>
      </c>
      <c r="E32" s="302">
        <f t="shared" ca="1" si="2"/>
        <v>132398540.05652273</v>
      </c>
      <c r="F32" s="302">
        <f t="shared" ca="1" si="2"/>
        <v>164074877.4211497</v>
      </c>
      <c r="G32" s="302">
        <f t="shared" ca="1" si="2"/>
        <v>210414389.35048547</v>
      </c>
    </row>
    <row r="33" spans="1:14" s="245" customFormat="1" ht="3" customHeight="1" x14ac:dyDescent="0.25">
      <c r="A33" s="285"/>
      <c r="B33" s="282"/>
      <c r="C33" s="282"/>
      <c r="D33" s="282"/>
      <c r="E33" s="282"/>
      <c r="F33" s="282"/>
      <c r="G33" s="282"/>
      <c r="H33" s="262"/>
      <c r="I33" s="262"/>
      <c r="J33" s="248"/>
      <c r="K33" s="262"/>
      <c r="L33" s="262"/>
      <c r="M33" s="262"/>
      <c r="N33" s="248"/>
    </row>
    <row r="34" spans="1:14" ht="3" customHeight="1" x14ac:dyDescent="0.25">
      <c r="A34" s="286"/>
      <c r="B34" s="283"/>
      <c r="C34" s="283"/>
      <c r="D34" s="283"/>
      <c r="E34" s="283"/>
      <c r="F34" s="283"/>
      <c r="G34" s="283"/>
      <c r="H34" s="262"/>
      <c r="I34" s="262"/>
      <c r="J34" s="248"/>
      <c r="K34" s="262"/>
      <c r="L34" s="262"/>
      <c r="M34" s="262"/>
      <c r="N34" s="248"/>
    </row>
    <row r="35" spans="1:14" x14ac:dyDescent="0.2">
      <c r="A35" s="239" t="s">
        <v>333</v>
      </c>
      <c r="B35" s="304">
        <f ca="1">'Profit &amp; Loss Account'!B69</f>
        <v>0</v>
      </c>
      <c r="C35" s="307">
        <f ca="1">'Profit &amp; Loss Account'!C69</f>
        <v>0</v>
      </c>
      <c r="D35" s="307">
        <f ca="1">'Profit &amp; Loss Account'!D69</f>
        <v>0</v>
      </c>
      <c r="E35" s="307">
        <f ca="1">'Profit &amp; Loss Account'!E69</f>
        <v>0</v>
      </c>
      <c r="F35" s="307">
        <f ca="1">'Profit &amp; Loss Account'!F69</f>
        <v>0</v>
      </c>
      <c r="G35" s="307">
        <f ca="1">'Profit &amp; Loss Account'!G69</f>
        <v>0</v>
      </c>
    </row>
    <row r="36" spans="1:14" s="245" customFormat="1" ht="3" customHeight="1" x14ac:dyDescent="0.25">
      <c r="A36" s="285"/>
      <c r="B36" s="282"/>
      <c r="C36" s="282"/>
      <c r="D36" s="282"/>
      <c r="E36" s="282"/>
      <c r="F36" s="282"/>
      <c r="G36" s="282"/>
      <c r="H36" s="262"/>
      <c r="I36" s="262"/>
      <c r="J36" s="248"/>
      <c r="K36" s="262"/>
      <c r="L36" s="262"/>
      <c r="M36" s="262"/>
      <c r="N36" s="248"/>
    </row>
    <row r="37" spans="1:14" ht="3" customHeight="1" x14ac:dyDescent="0.25">
      <c r="A37" s="286"/>
      <c r="B37" s="283"/>
      <c r="C37" s="283"/>
      <c r="D37" s="283"/>
      <c r="E37" s="283"/>
      <c r="F37" s="283"/>
      <c r="G37" s="283"/>
      <c r="H37" s="262"/>
      <c r="I37" s="262"/>
      <c r="J37" s="248"/>
      <c r="K37" s="262"/>
      <c r="L37" s="262"/>
      <c r="M37" s="262"/>
      <c r="N37" s="248"/>
    </row>
    <row r="38" spans="1:14" ht="12" x14ac:dyDescent="0.25">
      <c r="A38" s="264" t="s">
        <v>334</v>
      </c>
      <c r="B38" s="308">
        <f t="shared" ref="B38:G38" ca="1" si="3">B32+SUM(B35:B35)</f>
        <v>-1046763.8899544321</v>
      </c>
      <c r="C38" s="308">
        <f t="shared" ca="1" si="3"/>
        <v>8896784.6423091758</v>
      </c>
      <c r="D38" s="308">
        <f t="shared" ca="1" si="3"/>
        <v>35171184.07716608</v>
      </c>
      <c r="E38" s="308">
        <f t="shared" ca="1" si="3"/>
        <v>132398540.05652273</v>
      </c>
      <c r="F38" s="308">
        <f t="shared" ca="1" si="3"/>
        <v>164074877.4211497</v>
      </c>
      <c r="G38" s="308">
        <f t="shared" ca="1" si="3"/>
        <v>210414389.35048547</v>
      </c>
    </row>
    <row r="39" spans="1:14" s="245" customFormat="1" ht="3" customHeight="1" x14ac:dyDescent="0.25">
      <c r="A39" s="285"/>
      <c r="B39" s="282"/>
      <c r="C39" s="282"/>
      <c r="D39" s="282"/>
      <c r="E39" s="282"/>
      <c r="F39" s="282"/>
      <c r="G39" s="282"/>
      <c r="H39" s="262"/>
      <c r="I39" s="262"/>
      <c r="J39" s="248"/>
      <c r="K39" s="262"/>
      <c r="L39" s="262"/>
      <c r="M39" s="262"/>
      <c r="N39" s="248"/>
    </row>
    <row r="40" spans="1:14" ht="3" customHeight="1" x14ac:dyDescent="0.25">
      <c r="A40" s="286"/>
      <c r="B40" s="283"/>
      <c r="C40" s="283"/>
      <c r="D40" s="283"/>
      <c r="E40" s="283"/>
      <c r="F40" s="283"/>
      <c r="G40" s="283"/>
      <c r="H40" s="262"/>
      <c r="I40" s="262"/>
      <c r="J40" s="248"/>
      <c r="K40" s="262"/>
      <c r="L40" s="262"/>
      <c r="M40" s="262"/>
      <c r="N40" s="248"/>
    </row>
    <row r="41" spans="1:14" x14ac:dyDescent="0.2">
      <c r="A41" s="239" t="s">
        <v>335</v>
      </c>
      <c r="B41" s="304">
        <f>'Balance Sheet'!C52-'Balance Sheet'!B52</f>
        <v>0</v>
      </c>
      <c r="C41" s="304">
        <f>'Balance Sheet'!D52-'Balance Sheet'!C52</f>
        <v>0</v>
      </c>
      <c r="D41" s="304">
        <f>'Balance Sheet'!E52-'Balance Sheet'!D52</f>
        <v>0</v>
      </c>
      <c r="E41" s="304">
        <f>'Balance Sheet'!F52-'Balance Sheet'!E52</f>
        <v>0</v>
      </c>
      <c r="F41" s="304">
        <f>'Balance Sheet'!G52-'Balance Sheet'!F52</f>
        <v>0</v>
      </c>
      <c r="G41" s="304">
        <f>'Balance Sheet'!H52-'Balance Sheet'!G52</f>
        <v>0</v>
      </c>
    </row>
    <row r="42" spans="1:14" x14ac:dyDescent="0.2">
      <c r="A42" s="239" t="s">
        <v>336</v>
      </c>
      <c r="B42" s="304">
        <f ca="1">'Balance Sheet'!C49-'Balance Sheet'!C45-'Balance Sheet'!B49</f>
        <v>1365000</v>
      </c>
      <c r="C42" s="304">
        <f ca="1">'Balance Sheet'!D49-'Balance Sheet'!D45-'Balance Sheet'!C49</f>
        <v>0</v>
      </c>
      <c r="D42" s="304">
        <f ca="1">'Balance Sheet'!E49-'Balance Sheet'!E45-'Balance Sheet'!D49</f>
        <v>0</v>
      </c>
      <c r="E42" s="304">
        <f ca="1">'Balance Sheet'!F49-'Balance Sheet'!F45-'Balance Sheet'!E49</f>
        <v>-10078637.638923332</v>
      </c>
      <c r="F42" s="304">
        <f ca="1">'Balance Sheet'!G49-'Balance Sheet'!G45-'Balance Sheet'!F49</f>
        <v>-22585504.148668528</v>
      </c>
      <c r="G42" s="304">
        <f ca="1">'Balance Sheet'!H49-'Balance Sheet'!H45-'Balance Sheet'!G49</f>
        <v>-14234635.840373695</v>
      </c>
    </row>
    <row r="43" spans="1:14" s="245" customFormat="1" ht="3" customHeight="1" x14ac:dyDescent="0.25">
      <c r="A43" s="285"/>
      <c r="B43" s="282"/>
      <c r="C43" s="282"/>
      <c r="D43" s="282"/>
      <c r="E43" s="282"/>
      <c r="F43" s="282"/>
      <c r="G43" s="282"/>
      <c r="H43" s="262"/>
      <c r="I43" s="262"/>
      <c r="J43" s="248"/>
      <c r="K43" s="262"/>
      <c r="L43" s="262"/>
      <c r="M43" s="262"/>
      <c r="N43" s="248"/>
    </row>
    <row r="44" spans="1:14" ht="3" customHeight="1" x14ac:dyDescent="0.25">
      <c r="A44" s="286"/>
      <c r="B44" s="283"/>
      <c r="C44" s="283"/>
      <c r="D44" s="283"/>
      <c r="E44" s="283"/>
      <c r="F44" s="283"/>
      <c r="G44" s="283"/>
      <c r="H44" s="262"/>
      <c r="I44" s="262"/>
      <c r="J44" s="248"/>
      <c r="K44" s="262"/>
      <c r="L44" s="262"/>
      <c r="M44" s="262"/>
      <c r="N44" s="248"/>
    </row>
    <row r="45" spans="1:14" ht="12" x14ac:dyDescent="0.25">
      <c r="A45" s="249" t="s">
        <v>337</v>
      </c>
      <c r="B45" s="309">
        <f t="shared" ref="B45:G45" ca="1" si="4">B38+SUM(B41:B42)</f>
        <v>318236.11004556785</v>
      </c>
      <c r="C45" s="309">
        <f t="shared" ca="1" si="4"/>
        <v>8896784.6423091758</v>
      </c>
      <c r="D45" s="309">
        <f t="shared" ca="1" si="4"/>
        <v>35171184.07716608</v>
      </c>
      <c r="E45" s="309">
        <f t="shared" ca="1" si="4"/>
        <v>122319902.41759939</v>
      </c>
      <c r="F45" s="309">
        <f t="shared" ca="1" si="4"/>
        <v>141489373.27248117</v>
      </c>
      <c r="G45" s="309">
        <f t="shared" ca="1" si="4"/>
        <v>196179753.51011178</v>
      </c>
    </row>
    <row r="46" spans="1:14" s="245" customFormat="1" ht="3" customHeight="1" x14ac:dyDescent="0.25">
      <c r="A46" s="285"/>
      <c r="B46" s="282"/>
      <c r="C46" s="282"/>
      <c r="D46" s="282"/>
      <c r="E46" s="282"/>
      <c r="F46" s="282"/>
      <c r="G46" s="282"/>
      <c r="H46" s="262"/>
      <c r="I46" s="262"/>
      <c r="J46" s="248"/>
      <c r="K46" s="262"/>
      <c r="L46" s="262"/>
      <c r="M46" s="262"/>
      <c r="N46" s="248"/>
    </row>
    <row r="47" spans="1:14" ht="3" customHeight="1" x14ac:dyDescent="0.25">
      <c r="A47" s="286"/>
      <c r="B47" s="283"/>
      <c r="C47" s="283"/>
      <c r="D47" s="283"/>
      <c r="E47" s="283"/>
      <c r="F47" s="283"/>
      <c r="G47" s="283"/>
      <c r="H47" s="262"/>
      <c r="I47" s="262"/>
      <c r="J47" s="248"/>
      <c r="K47" s="262"/>
      <c r="L47" s="262"/>
      <c r="M47" s="262"/>
      <c r="N47" s="248"/>
    </row>
    <row r="48" spans="1:14" ht="12" x14ac:dyDescent="0.25">
      <c r="A48" s="264" t="s">
        <v>338</v>
      </c>
      <c r="B48" s="304">
        <f>'Balance Sheet'!B53</f>
        <v>0</v>
      </c>
      <c r="C48" s="304">
        <f ca="1">+B51</f>
        <v>-318236.11004556785</v>
      </c>
      <c r="D48" s="304">
        <f ca="1">+C51</f>
        <v>-9215020.752354743</v>
      </c>
      <c r="E48" s="304">
        <f ca="1">+D51</f>
        <v>-44386204.829520822</v>
      </c>
      <c r="F48" s="304">
        <f ca="1">+E51</f>
        <v>-166706107.2471202</v>
      </c>
      <c r="G48" s="304">
        <f ca="1">+F51</f>
        <v>-308195480.51960135</v>
      </c>
    </row>
    <row r="49" spans="1:14" s="245" customFormat="1" ht="3" customHeight="1" x14ac:dyDescent="0.25">
      <c r="A49" s="285"/>
      <c r="B49" s="282"/>
      <c r="C49" s="282"/>
      <c r="D49" s="282"/>
      <c r="E49" s="282"/>
      <c r="F49" s="282"/>
      <c r="G49" s="282"/>
      <c r="H49" s="262"/>
      <c r="I49" s="262"/>
      <c r="J49" s="248"/>
      <c r="K49" s="262"/>
      <c r="L49" s="262"/>
      <c r="M49" s="262"/>
      <c r="N49" s="248"/>
    </row>
    <row r="50" spans="1:14" ht="3" customHeight="1" x14ac:dyDescent="0.25">
      <c r="A50" s="286"/>
      <c r="B50" s="283"/>
      <c r="C50" s="283"/>
      <c r="D50" s="283"/>
      <c r="E50" s="283"/>
      <c r="F50" s="283"/>
      <c r="G50" s="283"/>
      <c r="H50" s="262"/>
      <c r="I50" s="262"/>
      <c r="J50" s="248"/>
      <c r="K50" s="262"/>
      <c r="L50" s="262"/>
      <c r="M50" s="262"/>
      <c r="N50" s="248"/>
    </row>
    <row r="51" spans="1:14" ht="12" x14ac:dyDescent="0.25">
      <c r="A51" s="249" t="s">
        <v>339</v>
      </c>
      <c r="B51" s="302">
        <f t="shared" ref="B51:G51" ca="1" si="5">B48-B45</f>
        <v>-318236.11004556785</v>
      </c>
      <c r="C51" s="302">
        <f t="shared" ca="1" si="5"/>
        <v>-9215020.752354743</v>
      </c>
      <c r="D51" s="302">
        <f t="shared" ca="1" si="5"/>
        <v>-44386204.829520822</v>
      </c>
      <c r="E51" s="302">
        <f t="shared" ca="1" si="5"/>
        <v>-166706107.2471202</v>
      </c>
      <c r="F51" s="302">
        <f t="shared" ca="1" si="5"/>
        <v>-308195480.51960135</v>
      </c>
      <c r="G51" s="302">
        <f t="shared" ca="1" si="5"/>
        <v>-504375234.02971315</v>
      </c>
    </row>
    <row r="52" spans="1:14" x14ac:dyDescent="0.2">
      <c r="B52" s="24"/>
      <c r="C52" s="24"/>
      <c r="D52" s="24"/>
      <c r="E52" s="24"/>
      <c r="F52" s="24"/>
      <c r="G52" s="24"/>
    </row>
    <row r="53" spans="1:14" x14ac:dyDescent="0.2">
      <c r="A53" s="25" t="s">
        <v>21</v>
      </c>
      <c r="B53" s="24"/>
      <c r="C53" s="24"/>
      <c r="D53" s="24"/>
      <c r="E53" s="24"/>
      <c r="F53" s="24"/>
      <c r="G53" s="24"/>
    </row>
    <row r="54" spans="1:14" x14ac:dyDescent="0.2">
      <c r="B54" s="24"/>
      <c r="C54" s="24"/>
      <c r="D54" s="24"/>
      <c r="E54" s="24"/>
      <c r="F54" s="24"/>
      <c r="G54" s="24"/>
    </row>
    <row r="55" spans="1:14" ht="12" x14ac:dyDescent="0.25">
      <c r="A55" s="266" t="s">
        <v>289</v>
      </c>
      <c r="B55" s="266">
        <f t="shared" ref="B55:G55" si="6">B12</f>
        <v>2021</v>
      </c>
      <c r="C55" s="266">
        <f t="shared" si="6"/>
        <v>2022</v>
      </c>
      <c r="D55" s="266">
        <f t="shared" si="6"/>
        <v>2023</v>
      </c>
      <c r="E55" s="266">
        <f t="shared" si="6"/>
        <v>2024</v>
      </c>
      <c r="F55" s="266">
        <f t="shared" si="6"/>
        <v>2025</v>
      </c>
      <c r="G55" s="266">
        <f t="shared" si="6"/>
        <v>2026</v>
      </c>
    </row>
    <row r="56" spans="1:14" ht="3" customHeight="1" x14ac:dyDescent="0.25">
      <c r="A56" s="285"/>
      <c r="B56" s="282"/>
      <c r="C56" s="282"/>
      <c r="D56" s="282"/>
      <c r="E56" s="282"/>
      <c r="F56" s="282"/>
      <c r="G56" s="282"/>
    </row>
    <row r="57" spans="1:14" ht="3" customHeight="1" x14ac:dyDescent="0.25">
      <c r="A57" s="286"/>
      <c r="B57" s="283"/>
      <c r="C57" s="283"/>
      <c r="D57" s="283"/>
      <c r="E57" s="283"/>
      <c r="F57" s="283"/>
      <c r="G57" s="283"/>
    </row>
    <row r="58" spans="1:14" ht="12" x14ac:dyDescent="0.25">
      <c r="A58" s="289" t="s">
        <v>290</v>
      </c>
      <c r="B58" s="290">
        <f ca="1">'Balance Sheet'!C56/'Profit &amp; Loss Account'!B56</f>
        <v>0.57529718547487074</v>
      </c>
      <c r="C58" s="290">
        <f ca="1">'Balance Sheet'!D56/'Profit &amp; Loss Account'!C56</f>
        <v>-1.4294492871032884</v>
      </c>
      <c r="D58" s="290">
        <f ca="1">'Balance Sheet'!E56/'Profit &amp; Loss Account'!D56</f>
        <v>-0.77813991342486544</v>
      </c>
      <c r="E58" s="290">
        <f ca="1">'Balance Sheet'!F56/'Profit &amp; Loss Account'!E56</f>
        <v>-1.2805210984490101</v>
      </c>
      <c r="F58" s="290">
        <f ca="1">'Balance Sheet'!G56/'Profit &amp; Loss Account'!F56</f>
        <v>-1.5458855910579592</v>
      </c>
      <c r="G58" s="290">
        <f ca="1">'Balance Sheet'!H56/'Profit &amp; Loss Account'!G56</f>
        <v>-1.8828553933264318</v>
      </c>
    </row>
    <row r="59" spans="1:14" ht="12" x14ac:dyDescent="0.25">
      <c r="A59" s="289" t="s">
        <v>371</v>
      </c>
      <c r="B59" s="290">
        <f ca="1">'Balance Sheet'!C56/'Balance Sheet'!C49</f>
        <v>-0.42322213243733081</v>
      </c>
      <c r="C59" s="290">
        <f ca="1">'Balance Sheet'!D56/'Balance Sheet'!D49</f>
        <v>-1.3108335177746706</v>
      </c>
      <c r="D59" s="290">
        <f ca="1">'Balance Sheet'!E56/'Balance Sheet'!E49</f>
        <v>-0.7729679963427919</v>
      </c>
      <c r="E59" s="290">
        <f ca="1">'Balance Sheet'!F56/'Balance Sheet'!F49</f>
        <v>-1.0670903860770284</v>
      </c>
      <c r="F59" s="290">
        <f ca="1">'Balance Sheet'!G56/'Balance Sheet'!G49</f>
        <v>-1.0628578548067387</v>
      </c>
      <c r="G59" s="290">
        <f ca="1">'Balance Sheet'!H56/'Balance Sheet'!H49</f>
        <v>-1.0518347473543512</v>
      </c>
    </row>
    <row r="60" spans="1:14" ht="12" x14ac:dyDescent="0.25">
      <c r="A60" s="289" t="s">
        <v>372</v>
      </c>
      <c r="B60" s="291" t="str">
        <f>IFERROR(('Profit &amp; Loss Account'!B15-'Profit &amp; Loss Account'!A15)/'Profit &amp; Loss Account'!A15,"n.d.")</f>
        <v>n.d.</v>
      </c>
      <c r="C60" s="291">
        <f>IFERROR(('Profit &amp; Loss Account'!C15-'Profit &amp; Loss Account'!B15)/'Profit &amp; Loss Account'!B15,"n.d.")</f>
        <v>24.663151903274422</v>
      </c>
      <c r="D60" s="291">
        <f>IFERROR(('Profit &amp; Loss Account'!D15-'Profit &amp; Loss Account'!C15)/'Profit &amp; Loss Account'!C15,"n.d.")</f>
        <v>4.2156438737197997</v>
      </c>
      <c r="E60" s="291">
        <f>IFERROR(('Profit &amp; Loss Account'!E15-'Profit &amp; Loss Account'!D15)/'Profit &amp; Loss Account'!D15,"n.d.")</f>
        <v>1.2837784204514684</v>
      </c>
      <c r="F60" s="291">
        <f>IFERROR(('Profit &amp; Loss Account'!F15-'Profit &amp; Loss Account'!E15)/'Profit &amp; Loss Account'!E15,"n.d.")</f>
        <v>0.51121752916364305</v>
      </c>
      <c r="G60" s="291">
        <f>IFERROR(('Profit &amp; Loss Account'!G15-'Profit &amp; Loss Account'!F15)/'Profit &amp; Loss Account'!F15,"n.d.")</f>
        <v>0.37951957053220747</v>
      </c>
    </row>
    <row r="61" spans="1:14" ht="12" x14ac:dyDescent="0.25">
      <c r="A61" s="289" t="s">
        <v>373</v>
      </c>
      <c r="B61" s="292">
        <f ca="1">'Profit &amp; Loss Account'!B57</f>
        <v>-0.89461164839731955</v>
      </c>
      <c r="C61" s="292">
        <f ca="1">'Profit &amp; Loss Account'!C57</f>
        <v>0.40625143809803493</v>
      </c>
      <c r="D61" s="292">
        <f ca="1">'Profit &amp; Loss Account'!D57</f>
        <v>0.68920709066417674</v>
      </c>
      <c r="E61" s="292">
        <f ca="1">'Profit &amp; Loss Account'!E57</f>
        <v>0.68876365688848273</v>
      </c>
      <c r="F61" s="292">
        <f ca="1">'Profit &amp; Loss Account'!F57</f>
        <v>0.69795493984796131</v>
      </c>
      <c r="G61" s="292">
        <f ca="1">'Profit &amp; Loss Account'!G57</f>
        <v>0.67980975100315211</v>
      </c>
    </row>
    <row r="62" spans="1:14" x14ac:dyDescent="0.2">
      <c r="B62" s="24"/>
      <c r="C62" s="24"/>
      <c r="D62" s="24"/>
      <c r="E62" s="24"/>
      <c r="F62" s="24"/>
      <c r="G62" s="24"/>
    </row>
    <row r="63" spans="1:14" x14ac:dyDescent="0.2">
      <c r="B63" s="24"/>
      <c r="C63" s="24"/>
      <c r="D63" s="24"/>
      <c r="E63" s="24"/>
      <c r="F63" s="24"/>
      <c r="G63" s="24"/>
    </row>
  </sheetData>
  <pageMargins left="0.74803149606299213" right="0.74803149606299213" top="0.98425196850393704" bottom="0.98425196850393704" header="0.51181102362204722" footer="0.51181102362204722"/>
  <pageSetup paperSize="9"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1:AC60"/>
  <sheetViews>
    <sheetView showGridLines="0" topLeftCell="A4" zoomScaleNormal="100" workbookViewId="0">
      <selection activeCell="H59" sqref="A12:H59"/>
    </sheetView>
  </sheetViews>
  <sheetFormatPr defaultRowHeight="11.4" x14ac:dyDescent="0.2"/>
  <cols>
    <col min="1" max="1" width="41.375" customWidth="1"/>
    <col min="2" max="2" width="15.75" hidden="1" customWidth="1"/>
    <col min="3" max="8" width="15.75" customWidth="1"/>
    <col min="9" max="15" width="9" style="74"/>
  </cols>
  <sheetData>
    <row r="1" spans="1:29" ht="15" x14ac:dyDescent="0.25">
      <c r="A1" s="27"/>
      <c r="B1" s="36"/>
      <c r="C1" s="36"/>
      <c r="D1" s="36"/>
      <c r="E1" s="36"/>
      <c r="F1" s="36"/>
      <c r="G1" s="36"/>
      <c r="H1" s="270"/>
      <c r="I1" s="131"/>
      <c r="J1" s="131"/>
      <c r="K1" s="131"/>
      <c r="L1" s="131"/>
      <c r="M1" s="131"/>
      <c r="N1" s="131"/>
      <c r="O1" s="131"/>
      <c r="P1" s="1"/>
      <c r="Q1" s="1"/>
      <c r="R1" s="1"/>
      <c r="S1" s="1"/>
      <c r="T1" s="1"/>
      <c r="U1" s="1"/>
      <c r="V1" s="1"/>
      <c r="W1" s="1"/>
      <c r="X1" s="1"/>
      <c r="Y1" s="1"/>
      <c r="Z1" s="1"/>
      <c r="AA1" s="1"/>
      <c r="AB1" s="1"/>
      <c r="AC1" s="1"/>
    </row>
    <row r="2" spans="1:29" ht="15.6" x14ac:dyDescent="0.3">
      <c r="A2" s="28" t="s">
        <v>171</v>
      </c>
      <c r="B2" s="37"/>
      <c r="C2" s="37">
        <v>2021</v>
      </c>
      <c r="D2" s="37">
        <f>+C2+1</f>
        <v>2022</v>
      </c>
      <c r="E2" s="37">
        <f>+D2+1</f>
        <v>2023</v>
      </c>
      <c r="F2" s="37">
        <f>+E2+1</f>
        <v>2024</v>
      </c>
      <c r="G2" s="37">
        <f>+F2+1</f>
        <v>2025</v>
      </c>
      <c r="H2" s="271">
        <f>+G2+1</f>
        <v>2026</v>
      </c>
      <c r="I2" s="276"/>
      <c r="J2" s="276"/>
      <c r="K2" s="276"/>
      <c r="L2" s="276"/>
      <c r="M2" s="276"/>
      <c r="N2" s="276"/>
      <c r="O2" s="277"/>
      <c r="P2" s="9"/>
      <c r="Q2" s="9"/>
      <c r="R2" s="9"/>
      <c r="S2" s="9"/>
      <c r="T2" s="9"/>
      <c r="U2" s="9"/>
      <c r="V2" s="9"/>
      <c r="W2" s="9"/>
      <c r="X2" s="9"/>
      <c r="Y2" s="9"/>
      <c r="Z2" s="9"/>
      <c r="AA2" s="9"/>
      <c r="AB2" s="9"/>
      <c r="AC2" s="9"/>
    </row>
    <row r="3" spans="1:29" x14ac:dyDescent="0.2">
      <c r="A3" s="29" t="str">
        <f>+A2</f>
        <v>Balance Sheet</v>
      </c>
      <c r="B3" s="38"/>
      <c r="C3" s="38"/>
      <c r="D3" s="38"/>
      <c r="E3" s="38"/>
      <c r="F3" s="38"/>
      <c r="G3" s="38"/>
      <c r="H3" s="272"/>
      <c r="I3" s="278"/>
      <c r="J3" s="278"/>
      <c r="K3" s="278"/>
      <c r="L3" s="278"/>
      <c r="M3" s="278"/>
      <c r="N3" s="278"/>
      <c r="O3" s="277"/>
      <c r="P3" s="9"/>
      <c r="Q3" s="9"/>
      <c r="R3" s="9"/>
      <c r="S3" s="9"/>
      <c r="T3" s="9"/>
      <c r="U3" s="9"/>
      <c r="V3" s="9"/>
      <c r="W3" s="9"/>
      <c r="X3" s="9"/>
      <c r="Y3" s="9"/>
      <c r="Z3" s="9"/>
      <c r="AA3" s="9"/>
      <c r="AB3" s="9"/>
      <c r="AC3" s="9"/>
    </row>
    <row r="4" spans="1:29" x14ac:dyDescent="0.2">
      <c r="A4" s="30"/>
      <c r="B4" s="38"/>
      <c r="C4" s="38"/>
      <c r="D4" s="38"/>
      <c r="E4" s="38"/>
      <c r="F4" s="38"/>
      <c r="G4" s="38"/>
      <c r="H4" s="272"/>
      <c r="I4" s="278"/>
      <c r="J4" s="278"/>
      <c r="K4" s="278"/>
      <c r="L4" s="278"/>
      <c r="M4" s="278"/>
      <c r="N4" s="278"/>
    </row>
    <row r="5" spans="1:29" x14ac:dyDescent="0.2">
      <c r="A5" s="31"/>
      <c r="B5" s="39"/>
      <c r="C5" s="39"/>
      <c r="D5" s="39"/>
      <c r="E5" s="39"/>
      <c r="F5" s="39"/>
      <c r="G5" s="39"/>
      <c r="H5" s="273"/>
      <c r="I5" s="279"/>
      <c r="J5" s="279"/>
      <c r="K5" s="279"/>
      <c r="L5" s="279"/>
      <c r="M5" s="279"/>
      <c r="N5" s="279"/>
    </row>
    <row r="6" spans="1:29" x14ac:dyDescent="0.2">
      <c r="A6" s="32" t="s">
        <v>382</v>
      </c>
      <c r="B6" s="39"/>
      <c r="C6" s="39"/>
      <c r="D6" s="39"/>
      <c r="E6" s="39"/>
      <c r="F6" s="39"/>
      <c r="G6" s="39"/>
      <c r="H6" s="273"/>
      <c r="I6" s="279"/>
      <c r="J6" s="279"/>
      <c r="K6" s="279"/>
      <c r="L6" s="279"/>
      <c r="M6" s="279"/>
      <c r="N6" s="279"/>
      <c r="O6" s="277"/>
      <c r="P6" s="9"/>
      <c r="Q6" s="9"/>
      <c r="R6" s="9"/>
      <c r="S6" s="9"/>
      <c r="T6" s="9"/>
      <c r="U6" s="9"/>
      <c r="V6" s="9"/>
      <c r="W6" s="9"/>
      <c r="X6" s="9"/>
      <c r="Y6" s="9"/>
      <c r="Z6" s="9"/>
      <c r="AA6" s="9"/>
      <c r="AB6" s="9"/>
      <c r="AC6" s="9"/>
    </row>
    <row r="7" spans="1:29" x14ac:dyDescent="0.2">
      <c r="A7" s="32" t="s">
        <v>381</v>
      </c>
      <c r="B7" s="38"/>
      <c r="C7" s="38"/>
      <c r="D7" s="38"/>
      <c r="E7" s="38"/>
      <c r="F7" s="38"/>
      <c r="G7" s="38"/>
      <c r="H7" s="272"/>
      <c r="I7" s="278"/>
      <c r="J7" s="278"/>
      <c r="K7" s="278"/>
      <c r="L7" s="278"/>
      <c r="M7" s="278"/>
      <c r="N7" s="278"/>
      <c r="O7" s="277"/>
      <c r="P7" s="9"/>
      <c r="Q7" s="9"/>
      <c r="R7" s="9"/>
      <c r="S7" s="9"/>
      <c r="T7" s="9"/>
      <c r="U7" s="9"/>
      <c r="V7" s="9"/>
      <c r="W7" s="9"/>
      <c r="X7" s="9"/>
      <c r="Y7" s="9"/>
      <c r="Z7" s="9"/>
      <c r="AA7" s="9"/>
      <c r="AB7" s="9"/>
      <c r="AC7" s="9"/>
    </row>
    <row r="8" spans="1:29" x14ac:dyDescent="0.2">
      <c r="B8" s="278"/>
      <c r="C8" s="38"/>
      <c r="D8" s="38"/>
      <c r="E8" s="38"/>
      <c r="F8" s="38"/>
      <c r="G8" s="38"/>
      <c r="H8" s="272"/>
      <c r="I8" s="278"/>
      <c r="J8" s="278"/>
      <c r="K8" s="278"/>
      <c r="L8" s="278"/>
      <c r="M8" s="278"/>
      <c r="N8" s="278"/>
      <c r="O8" s="277"/>
      <c r="P8" s="9"/>
      <c r="Q8" s="9"/>
      <c r="R8" s="9"/>
      <c r="S8" s="9"/>
      <c r="T8" s="9"/>
      <c r="U8" s="9"/>
      <c r="V8" s="9"/>
      <c r="W8" s="9"/>
      <c r="X8" s="9"/>
      <c r="Y8" s="9"/>
      <c r="Z8" s="9"/>
      <c r="AA8" s="9"/>
      <c r="AB8" s="9"/>
      <c r="AC8" s="9"/>
    </row>
    <row r="9" spans="1:29" x14ac:dyDescent="0.2">
      <c r="B9" s="278"/>
      <c r="C9" s="38"/>
      <c r="D9" s="38"/>
      <c r="E9" s="38"/>
      <c r="F9" s="38"/>
      <c r="G9" s="38"/>
      <c r="H9" s="272"/>
      <c r="I9" s="278"/>
      <c r="J9" s="278"/>
      <c r="K9" s="278"/>
      <c r="L9" s="278"/>
      <c r="M9" s="278"/>
      <c r="N9" s="278"/>
    </row>
    <row r="10" spans="1:29" x14ac:dyDescent="0.2">
      <c r="B10" s="74"/>
      <c r="C10" s="40"/>
      <c r="D10" s="40"/>
      <c r="E10" s="40"/>
      <c r="F10" s="40"/>
      <c r="G10" s="40"/>
      <c r="H10" s="274"/>
    </row>
    <row r="11" spans="1:29" x14ac:dyDescent="0.2">
      <c r="B11" s="90"/>
      <c r="C11" s="41"/>
      <c r="D11" s="41"/>
      <c r="E11" s="41"/>
      <c r="F11" s="41"/>
      <c r="G11" s="41"/>
      <c r="H11" s="275"/>
      <c r="I11" s="90"/>
      <c r="J11" s="90"/>
      <c r="K11" s="90"/>
      <c r="L11" s="90"/>
      <c r="M11" s="90"/>
      <c r="N11" s="90"/>
      <c r="O11" s="90"/>
      <c r="P11" s="5"/>
      <c r="Q11" s="5"/>
      <c r="R11" s="5"/>
      <c r="S11" s="5"/>
      <c r="T11" s="5"/>
      <c r="U11" s="5"/>
      <c r="V11" s="5"/>
      <c r="W11" s="5"/>
      <c r="X11" s="5"/>
      <c r="Y11" s="5"/>
      <c r="Z11" s="5"/>
      <c r="AA11" s="5"/>
      <c r="AB11" s="5"/>
      <c r="AC11" s="5"/>
    </row>
    <row r="12" spans="1:29" ht="12" x14ac:dyDescent="0.25">
      <c r="A12" s="266" t="s">
        <v>13</v>
      </c>
      <c r="B12" s="269"/>
      <c r="C12" s="269">
        <f t="shared" ref="C12:H12" si="0">C2</f>
        <v>2021</v>
      </c>
      <c r="D12" s="269">
        <f t="shared" si="0"/>
        <v>2022</v>
      </c>
      <c r="E12" s="269">
        <f t="shared" si="0"/>
        <v>2023</v>
      </c>
      <c r="F12" s="269">
        <f t="shared" si="0"/>
        <v>2024</v>
      </c>
      <c r="G12" s="269">
        <f t="shared" si="0"/>
        <v>2025</v>
      </c>
      <c r="H12" s="269">
        <f t="shared" si="0"/>
        <v>2026</v>
      </c>
    </row>
    <row r="13" spans="1:29" s="245" customFormat="1" ht="3" customHeight="1" x14ac:dyDescent="0.25">
      <c r="A13" s="285"/>
      <c r="B13" s="263"/>
      <c r="C13" s="282"/>
      <c r="D13" s="282"/>
      <c r="E13" s="282"/>
      <c r="F13" s="282"/>
      <c r="G13" s="282"/>
      <c r="H13" s="282"/>
      <c r="I13" s="262"/>
      <c r="J13" s="262"/>
      <c r="K13" s="248"/>
      <c r="L13" s="262"/>
      <c r="M13" s="262"/>
      <c r="N13" s="262"/>
      <c r="O13" s="248"/>
    </row>
    <row r="14" spans="1:29" ht="3" customHeight="1" x14ac:dyDescent="0.25">
      <c r="A14" s="286"/>
      <c r="B14" s="248"/>
      <c r="C14" s="283"/>
      <c r="D14" s="283"/>
      <c r="E14" s="283"/>
      <c r="F14" s="283"/>
      <c r="G14" s="283"/>
      <c r="H14" s="283"/>
      <c r="I14" s="262"/>
      <c r="J14" s="262"/>
      <c r="K14" s="248"/>
      <c r="L14" s="262"/>
      <c r="M14" s="262"/>
      <c r="N14" s="262"/>
      <c r="O14" s="248"/>
    </row>
    <row r="15" spans="1:29" ht="12" x14ac:dyDescent="0.25">
      <c r="A15" s="303" t="s">
        <v>304</v>
      </c>
      <c r="B15" s="268"/>
      <c r="C15" s="287"/>
      <c r="D15" s="287"/>
      <c r="E15" s="287"/>
      <c r="F15" s="287"/>
      <c r="G15" s="287"/>
      <c r="H15" s="287"/>
    </row>
    <row r="16" spans="1:29" x14ac:dyDescent="0.2">
      <c r="A16" s="239" t="s">
        <v>305</v>
      </c>
      <c r="B16" s="24"/>
      <c r="C16" s="304">
        <f>'Computations 2'!F72</f>
        <v>0</v>
      </c>
      <c r="D16" s="304">
        <f>'Computations 2'!G72</f>
        <v>83200</v>
      </c>
      <c r="E16" s="304">
        <f ca="1">'Computations 2'!H72</f>
        <v>20154592.17328437</v>
      </c>
      <c r="F16" s="304">
        <f ca="1">'Computations 2'!I72</f>
        <v>18064081.93180833</v>
      </c>
      <c r="G16" s="304">
        <f ca="1">'Computations 2'!J72</f>
        <v>16018371.69033229</v>
      </c>
      <c r="H16" s="304">
        <f ca="1">'Computations 2'!K72</f>
        <v>14033461.448856249</v>
      </c>
      <c r="I16" s="90"/>
      <c r="J16" s="90"/>
      <c r="K16" s="90"/>
      <c r="L16" s="90"/>
      <c r="M16" s="90"/>
      <c r="N16" s="90"/>
      <c r="O16" s="90"/>
      <c r="P16" s="5"/>
      <c r="Q16" s="5"/>
      <c r="R16" s="5"/>
      <c r="S16" s="5"/>
      <c r="T16" s="5"/>
      <c r="U16" s="5"/>
      <c r="V16" s="5"/>
      <c r="W16" s="5"/>
      <c r="X16" s="5"/>
      <c r="Y16" s="5"/>
      <c r="Z16" s="5"/>
      <c r="AA16" s="5"/>
      <c r="AB16" s="5"/>
    </row>
    <row r="17" spans="1:15" x14ac:dyDescent="0.2">
      <c r="A17" s="239" t="s">
        <v>306</v>
      </c>
      <c r="B17" s="24"/>
      <c r="C17" s="304">
        <f>'Computations 2'!F76</f>
        <v>205893.33333333331</v>
      </c>
      <c r="D17" s="304">
        <f>'Computations 2'!G76</f>
        <v>540207.84091125918</v>
      </c>
      <c r="E17" s="304">
        <f>'Computations 2'!H76</f>
        <v>7410276.7384481383</v>
      </c>
      <c r="F17" s="304">
        <f>'Computations 2'!I76</f>
        <v>11091464.776827589</v>
      </c>
      <c r="G17" s="304">
        <f>'Computations 2'!J76</f>
        <v>17418103.826559581</v>
      </c>
      <c r="H17" s="304">
        <f>'Computations 2'!K76</f>
        <v>26648872.11064814</v>
      </c>
    </row>
    <row r="18" spans="1:15" s="245" customFormat="1" ht="3" customHeight="1" x14ac:dyDescent="0.25">
      <c r="A18" s="285"/>
      <c r="B18" s="263"/>
      <c r="C18" s="282"/>
      <c r="D18" s="282"/>
      <c r="E18" s="282"/>
      <c r="F18" s="282"/>
      <c r="G18" s="282"/>
      <c r="H18" s="282"/>
      <c r="I18" s="262"/>
      <c r="J18" s="262"/>
      <c r="K18" s="248"/>
      <c r="L18" s="262"/>
      <c r="M18" s="262"/>
      <c r="N18" s="262"/>
      <c r="O18" s="248"/>
    </row>
    <row r="19" spans="1:15" ht="3" customHeight="1" x14ac:dyDescent="0.25">
      <c r="A19" s="286"/>
      <c r="B19" s="248"/>
      <c r="C19" s="283"/>
      <c r="D19" s="283"/>
      <c r="E19" s="283"/>
      <c r="F19" s="283"/>
      <c r="G19" s="283"/>
      <c r="H19" s="283"/>
      <c r="I19" s="262"/>
      <c r="J19" s="262"/>
      <c r="K19" s="248"/>
      <c r="L19" s="262"/>
      <c r="M19" s="262"/>
      <c r="N19" s="262"/>
      <c r="O19" s="248"/>
    </row>
    <row r="20" spans="1:15" ht="12" x14ac:dyDescent="0.25">
      <c r="A20" s="264" t="s">
        <v>307</v>
      </c>
      <c r="B20" s="248"/>
      <c r="C20" s="283">
        <f t="shared" ref="C20:H20" si="1">SUM(C16:C17)</f>
        <v>205893.33333333331</v>
      </c>
      <c r="D20" s="283">
        <f t="shared" si="1"/>
        <v>623407.84091125918</v>
      </c>
      <c r="E20" s="283">
        <f t="shared" ca="1" si="1"/>
        <v>27564868.91173251</v>
      </c>
      <c r="F20" s="283">
        <f t="shared" ca="1" si="1"/>
        <v>29155546.708635919</v>
      </c>
      <c r="G20" s="288">
        <f t="shared" ca="1" si="1"/>
        <v>33436475.516891871</v>
      </c>
      <c r="H20" s="288">
        <f t="shared" ca="1" si="1"/>
        <v>40682333.55950439</v>
      </c>
    </row>
    <row r="21" spans="1:15" s="245" customFormat="1" ht="3" customHeight="1" x14ac:dyDescent="0.25">
      <c r="A21" s="285"/>
      <c r="B21" s="263"/>
      <c r="C21" s="282"/>
      <c r="D21" s="282"/>
      <c r="E21" s="282"/>
      <c r="F21" s="282"/>
      <c r="G21" s="282"/>
      <c r="H21" s="282"/>
      <c r="I21" s="262"/>
      <c r="J21" s="262"/>
      <c r="K21" s="248"/>
      <c r="L21" s="262"/>
      <c r="M21" s="262"/>
      <c r="N21" s="262"/>
      <c r="O21" s="248"/>
    </row>
    <row r="22" spans="1:15" ht="3" customHeight="1" x14ac:dyDescent="0.25">
      <c r="A22" s="286"/>
      <c r="B22" s="248"/>
      <c r="C22" s="283"/>
      <c r="D22" s="283"/>
      <c r="E22" s="283"/>
      <c r="F22" s="283"/>
      <c r="G22" s="283"/>
      <c r="H22" s="283"/>
      <c r="I22" s="262"/>
      <c r="J22" s="262"/>
      <c r="K22" s="248"/>
      <c r="L22" s="262"/>
      <c r="M22" s="262"/>
      <c r="N22" s="262"/>
      <c r="O22" s="248"/>
    </row>
    <row r="23" spans="1:15" x14ac:dyDescent="0.2">
      <c r="A23" s="239" t="s">
        <v>308</v>
      </c>
      <c r="B23" s="24"/>
      <c r="C23" s="304">
        <f>'Computations 2'!F83</f>
        <v>62002.739726027408</v>
      </c>
      <c r="D23" s="304">
        <f>'Computations 2'!G83</f>
        <v>1591185.7280082291</v>
      </c>
      <c r="E23" s="304">
        <f>'Computations 2'!H83</f>
        <v>8299058.0942364987</v>
      </c>
      <c r="F23" s="304">
        <f>'Computations 2'!I83</f>
        <v>18953209.785690404</v>
      </c>
      <c r="G23" s="304">
        <f>'Computations 2'!J83</f>
        <v>28642422.862051234</v>
      </c>
      <c r="H23" s="304">
        <f>'Computations 2'!K83</f>
        <v>39512782.885658801</v>
      </c>
    </row>
    <row r="24" spans="1:15" x14ac:dyDescent="0.2">
      <c r="A24" s="239" t="s">
        <v>309</v>
      </c>
      <c r="B24" s="24"/>
      <c r="C24" s="304">
        <f>'Computations 2'!F88</f>
        <v>-114057.77154568008</v>
      </c>
      <c r="D24" s="304">
        <f>'Computations 2'!G88</f>
        <v>-779030.87262961862</v>
      </c>
      <c r="E24" s="304">
        <f>'Computations 2'!H88</f>
        <v>-2359757.6337844804</v>
      </c>
      <c r="F24" s="304">
        <f>'Computations 2'!I88</f>
        <v>-4381023.7144953376</v>
      </c>
      <c r="G24" s="304">
        <f>'Computations 2'!J88</f>
        <v>-6065086.7246029684</v>
      </c>
      <c r="H24" s="304">
        <f>'Computations 2'!K88</f>
        <v>-7455323.4033873985</v>
      </c>
    </row>
    <row r="25" spans="1:15" s="245" customFormat="1" ht="3" customHeight="1" x14ac:dyDescent="0.25">
      <c r="A25" s="285"/>
      <c r="B25" s="263"/>
      <c r="C25" s="282"/>
      <c r="D25" s="282"/>
      <c r="E25" s="282"/>
      <c r="F25" s="282"/>
      <c r="G25" s="282"/>
      <c r="H25" s="282"/>
      <c r="I25" s="262"/>
      <c r="J25" s="262"/>
      <c r="K25" s="248"/>
      <c r="L25" s="262"/>
      <c r="M25" s="262"/>
      <c r="N25" s="262"/>
      <c r="O25" s="248"/>
    </row>
    <row r="26" spans="1:15" ht="3" customHeight="1" x14ac:dyDescent="0.25">
      <c r="A26" s="286"/>
      <c r="B26" s="248"/>
      <c r="C26" s="283"/>
      <c r="D26" s="283"/>
      <c r="E26" s="283"/>
      <c r="F26" s="283"/>
      <c r="G26" s="283"/>
      <c r="H26" s="283"/>
      <c r="I26" s="262"/>
      <c r="J26" s="262"/>
      <c r="K26" s="248"/>
      <c r="L26" s="262"/>
      <c r="M26" s="262"/>
      <c r="N26" s="262"/>
      <c r="O26" s="248"/>
    </row>
    <row r="27" spans="1:15" ht="12" x14ac:dyDescent="0.25">
      <c r="A27" s="264" t="s">
        <v>281</v>
      </c>
      <c r="B27" s="305"/>
      <c r="C27" s="302">
        <f t="shared" ref="C27:H27" si="2">SUM(C23:C24)</f>
        <v>-52055.031819652671</v>
      </c>
      <c r="D27" s="302">
        <f t="shared" si="2"/>
        <v>812154.85537861043</v>
      </c>
      <c r="E27" s="302">
        <f t="shared" si="2"/>
        <v>5939300.4604520183</v>
      </c>
      <c r="F27" s="302">
        <f t="shared" si="2"/>
        <v>14572186.071195066</v>
      </c>
      <c r="G27" s="302">
        <f t="shared" si="2"/>
        <v>22577336.137448266</v>
      </c>
      <c r="H27" s="302">
        <f t="shared" si="2"/>
        <v>32057459.482271403</v>
      </c>
    </row>
    <row r="28" spans="1:15" s="245" customFormat="1" ht="3" customHeight="1" x14ac:dyDescent="0.25">
      <c r="A28" s="285"/>
      <c r="B28" s="263"/>
      <c r="C28" s="282"/>
      <c r="D28" s="282"/>
      <c r="E28" s="282"/>
      <c r="F28" s="282"/>
      <c r="G28" s="282"/>
      <c r="H28" s="282"/>
      <c r="I28" s="262"/>
      <c r="J28" s="262"/>
      <c r="K28" s="248"/>
      <c r="L28" s="262"/>
      <c r="M28" s="262"/>
      <c r="N28" s="262"/>
      <c r="O28" s="248"/>
    </row>
    <row r="29" spans="1:15" ht="3" customHeight="1" x14ac:dyDescent="0.25">
      <c r="A29" s="286"/>
      <c r="B29" s="248"/>
      <c r="C29" s="283"/>
      <c r="D29" s="283"/>
      <c r="E29" s="283"/>
      <c r="F29" s="283"/>
      <c r="G29" s="283"/>
      <c r="H29" s="283"/>
      <c r="I29" s="262"/>
      <c r="J29" s="262"/>
      <c r="K29" s="248"/>
      <c r="L29" s="262"/>
      <c r="M29" s="262"/>
      <c r="N29" s="262"/>
      <c r="O29" s="248"/>
    </row>
    <row r="30" spans="1:15" x14ac:dyDescent="0.2">
      <c r="A30" s="239" t="s">
        <v>310</v>
      </c>
      <c r="B30" s="24"/>
      <c r="C30" s="304">
        <f>'Computations 2'!F91</f>
        <v>117487.3333333333</v>
      </c>
      <c r="D30" s="304">
        <f>'Computations 2'!G91</f>
        <v>-1616813.4095447562</v>
      </c>
      <c r="E30" s="304">
        <f ca="1">'Computations 2'!H91</f>
        <v>-5922015.9091811432</v>
      </c>
      <c r="F30" s="304">
        <f ca="1">'Computations 2'!I91</f>
        <v>-29926741.509760659</v>
      </c>
      <c r="G30" s="304">
        <f ca="1">'Computations 2'!J91</f>
        <v>-47700703.00667312</v>
      </c>
      <c r="H30" s="304">
        <f ca="1">'Computations 2'!K91</f>
        <v>-67804055.215009987</v>
      </c>
    </row>
    <row r="31" spans="1:15" x14ac:dyDescent="0.2">
      <c r="A31" s="239" t="s">
        <v>311</v>
      </c>
      <c r="B31" s="24"/>
      <c r="C31" s="304">
        <f ca="1">'Computations 2'!F63</f>
        <v>171623.94627397257</v>
      </c>
      <c r="D31" s="304">
        <f ca="1">'Computations 2'!G63</f>
        <v>-1617322.4232658187</v>
      </c>
      <c r="E31" s="304">
        <f ca="1">'Computations 2'!H63</f>
        <v>-12924912.022379559</v>
      </c>
      <c r="F31" s="304">
        <f ca="1">'Computations 2'!I63</f>
        <v>-20155910.193796191</v>
      </c>
      <c r="G31" s="304">
        <f ca="1">'Computations 2'!J63</f>
        <v>-19223920.817639057</v>
      </c>
      <c r="H31" s="304">
        <f ca="1">'Computations 2'!K63</f>
        <v>-19145529.427883152</v>
      </c>
    </row>
    <row r="32" spans="1:15" x14ac:dyDescent="0.2">
      <c r="A32" s="239" t="s">
        <v>312</v>
      </c>
      <c r="B32" s="24"/>
      <c r="C32" s="304">
        <f>'Computations 2'!F93</f>
        <v>-827.22709223046331</v>
      </c>
      <c r="D32" s="304">
        <f>'Computations 2'!G93</f>
        <v>-71830.885842011892</v>
      </c>
      <c r="E32" s="304">
        <f>'Computations 2'!H93</f>
        <v>-183519.93065136764</v>
      </c>
      <c r="F32" s="304">
        <f>'Computations 2'!I93</f>
        <v>-387711.86418400123</v>
      </c>
      <c r="G32" s="304">
        <f>'Computations 2'!J93</f>
        <v>-777453.75373711321</v>
      </c>
      <c r="H32" s="304">
        <f>'Computations 2'!K93</f>
        <v>-1472462.1956415854</v>
      </c>
    </row>
    <row r="33" spans="1:15" x14ac:dyDescent="0.2">
      <c r="A33" s="239" t="s">
        <v>313</v>
      </c>
      <c r="B33" s="24"/>
      <c r="C33" s="304">
        <f>'Computations 2'!F97</f>
        <v>-8422.1033437302194</v>
      </c>
      <c r="D33" s="304">
        <f>'Computations 2'!G97</f>
        <v>-314722.67601744365</v>
      </c>
      <c r="E33" s="304">
        <f>'Computations 2'!H97</f>
        <v>-1436844.090902166</v>
      </c>
      <c r="F33" s="304">
        <f>'Computations 2'!I97</f>
        <v>-3738559.2242363635</v>
      </c>
      <c r="G33" s="304">
        <f>'Computations 2'!J97</f>
        <v>-6538542.7497016126</v>
      </c>
      <c r="H33" s="304">
        <f>'Computations 2'!K97</f>
        <v>-9173516.4594354723</v>
      </c>
    </row>
    <row r="34" spans="1:15" s="245" customFormat="1" ht="3" customHeight="1" x14ac:dyDescent="0.25">
      <c r="A34" s="285"/>
      <c r="B34" s="263"/>
      <c r="C34" s="282"/>
      <c r="D34" s="282"/>
      <c r="E34" s="282"/>
      <c r="F34" s="282"/>
      <c r="G34" s="282"/>
      <c r="H34" s="282"/>
      <c r="I34" s="262"/>
      <c r="J34" s="262"/>
      <c r="K34" s="248"/>
      <c r="L34" s="262"/>
      <c r="M34" s="262"/>
      <c r="N34" s="262"/>
      <c r="O34" s="248"/>
    </row>
    <row r="35" spans="1:15" ht="3" customHeight="1" x14ac:dyDescent="0.25">
      <c r="A35" s="286"/>
      <c r="B35" s="248"/>
      <c r="C35" s="283"/>
      <c r="D35" s="283"/>
      <c r="E35" s="283"/>
      <c r="F35" s="283"/>
      <c r="G35" s="283"/>
      <c r="H35" s="283"/>
      <c r="I35" s="262"/>
      <c r="J35" s="262"/>
      <c r="K35" s="248"/>
      <c r="L35" s="262"/>
      <c r="M35" s="262"/>
      <c r="N35" s="262"/>
      <c r="O35" s="248"/>
    </row>
    <row r="36" spans="1:15" ht="12" x14ac:dyDescent="0.25">
      <c r="A36" s="264" t="s">
        <v>314</v>
      </c>
      <c r="B36" s="267"/>
      <c r="C36" s="288">
        <f t="shared" ref="C36:H36" ca="1" si="3">+SUM(C30:C34)</f>
        <v>279861.94917134522</v>
      </c>
      <c r="D36" s="288">
        <f t="shared" ca="1" si="3"/>
        <v>-3620689.3946700306</v>
      </c>
      <c r="E36" s="288">
        <f t="shared" ca="1" si="3"/>
        <v>-20467291.953114234</v>
      </c>
      <c r="F36" s="288">
        <f t="shared" ca="1" si="3"/>
        <v>-54208922.791977212</v>
      </c>
      <c r="G36" s="288">
        <f t="shared" ca="1" si="3"/>
        <v>-74240620.327750906</v>
      </c>
      <c r="H36" s="288">
        <f t="shared" ca="1" si="3"/>
        <v>-97595563.297970206</v>
      </c>
    </row>
    <row r="37" spans="1:15" s="245" customFormat="1" ht="3" customHeight="1" x14ac:dyDescent="0.25">
      <c r="A37" s="285"/>
      <c r="B37" s="263"/>
      <c r="C37" s="282"/>
      <c r="D37" s="282"/>
      <c r="E37" s="282"/>
      <c r="F37" s="282"/>
      <c r="G37" s="282"/>
      <c r="H37" s="282"/>
      <c r="I37" s="262"/>
      <c r="J37" s="262"/>
      <c r="K37" s="248"/>
      <c r="L37" s="262"/>
      <c r="M37" s="262"/>
      <c r="N37" s="262"/>
      <c r="O37" s="248"/>
    </row>
    <row r="38" spans="1:15" ht="3" customHeight="1" x14ac:dyDescent="0.25">
      <c r="A38" s="286"/>
      <c r="B38" s="248"/>
      <c r="C38" s="283"/>
      <c r="D38" s="283"/>
      <c r="E38" s="283"/>
      <c r="F38" s="283"/>
      <c r="G38" s="283"/>
      <c r="H38" s="283"/>
      <c r="I38" s="262"/>
      <c r="J38" s="262"/>
      <c r="K38" s="248"/>
      <c r="L38" s="262"/>
      <c r="M38" s="262"/>
      <c r="N38" s="262"/>
      <c r="O38" s="248"/>
    </row>
    <row r="39" spans="1:15" ht="12" x14ac:dyDescent="0.25">
      <c r="A39" s="249" t="s">
        <v>304</v>
      </c>
      <c r="B39" s="267"/>
      <c r="C39" s="288">
        <f t="shared" ref="C39:H39" ca="1" si="4">+C36+C27+C20</f>
        <v>433700.25068502582</v>
      </c>
      <c r="D39" s="288">
        <f t="shared" ca="1" si="4"/>
        <v>-2185126.6983801611</v>
      </c>
      <c r="E39" s="288">
        <f t="shared" ca="1" si="4"/>
        <v>13036877.419070294</v>
      </c>
      <c r="F39" s="288">
        <f t="shared" ca="1" si="4"/>
        <v>-10481190.012146227</v>
      </c>
      <c r="G39" s="288">
        <f t="shared" ca="1" si="4"/>
        <v>-18226808.67341077</v>
      </c>
      <c r="H39" s="288">
        <f t="shared" ca="1" si="4"/>
        <v>-24855770.256194413</v>
      </c>
    </row>
    <row r="40" spans="1:15" x14ac:dyDescent="0.2">
      <c r="A40" s="61"/>
      <c r="B40" s="268"/>
      <c r="C40" s="287"/>
      <c r="D40" s="287"/>
      <c r="E40" s="287"/>
      <c r="F40" s="287"/>
      <c r="G40" s="287"/>
      <c r="H40" s="287"/>
    </row>
    <row r="41" spans="1:15" ht="12" x14ac:dyDescent="0.25">
      <c r="A41" s="303" t="s">
        <v>315</v>
      </c>
      <c r="B41" s="268"/>
      <c r="C41" s="287"/>
      <c r="D41" s="287"/>
      <c r="E41" s="287"/>
      <c r="F41" s="287"/>
      <c r="G41" s="287"/>
      <c r="H41" s="287"/>
    </row>
    <row r="42" spans="1:15" x14ac:dyDescent="0.2">
      <c r="A42" s="239" t="s">
        <v>316</v>
      </c>
      <c r="B42" s="24"/>
      <c r="C42" s="304">
        <f>'Computations 2'!F103</f>
        <v>136500</v>
      </c>
      <c r="D42" s="304">
        <f>'Computations 2'!G103</f>
        <v>136500</v>
      </c>
      <c r="E42" s="304">
        <f>'Computations 2'!H103</f>
        <v>136500</v>
      </c>
      <c r="F42" s="304">
        <f>'Computations 2'!I103</f>
        <v>136500</v>
      </c>
      <c r="G42" s="304">
        <f>'Computations 2'!J103</f>
        <v>136500</v>
      </c>
      <c r="H42" s="304">
        <f>'Computations 2'!K103</f>
        <v>136500</v>
      </c>
    </row>
    <row r="43" spans="1:15" x14ac:dyDescent="0.2">
      <c r="A43" s="239" t="s">
        <v>317</v>
      </c>
      <c r="B43" s="24"/>
      <c r="C43" s="304">
        <f>'Computations 2'!F104</f>
        <v>1228500</v>
      </c>
      <c r="D43" s="304">
        <f>'Computations 2'!G104</f>
        <v>1228500</v>
      </c>
      <c r="E43" s="304">
        <f>'Computations 2'!H104</f>
        <v>1228500</v>
      </c>
      <c r="F43" s="304">
        <f>'Computations 2'!I104</f>
        <v>1228500</v>
      </c>
      <c r="G43" s="304">
        <f>'Computations 2'!J104</f>
        <v>1228500</v>
      </c>
      <c r="H43" s="304">
        <f>'Computations 2'!K104</f>
        <v>1228500</v>
      </c>
    </row>
    <row r="44" spans="1:15" x14ac:dyDescent="0.2">
      <c r="A44" s="239" t="s">
        <v>318</v>
      </c>
      <c r="B44" s="24"/>
      <c r="C44" s="304">
        <f>'Computations 2'!F105</f>
        <v>0</v>
      </c>
      <c r="D44" s="304">
        <f ca="1">'Computations 2'!G105</f>
        <v>-613063.63926940633</v>
      </c>
      <c r="E44" s="304">
        <f ca="1">'Computations 2'!H105</f>
        <v>5664894.0539745828</v>
      </c>
      <c r="F44" s="304">
        <f ca="1">'Computations 2'!I105</f>
        <v>56058082.248591125</v>
      </c>
      <c r="G44" s="304">
        <f ca="1">'Computations 2'!J105</f>
        <v>164938554.87389731</v>
      </c>
      <c r="H44" s="304">
        <f ca="1">'Computations 2'!K105</f>
        <v>321267813.63378251</v>
      </c>
    </row>
    <row r="45" spans="1:15" x14ac:dyDescent="0.2">
      <c r="A45" s="239" t="s">
        <v>319</v>
      </c>
      <c r="B45" s="24"/>
      <c r="C45" s="304">
        <f ca="1">'Computations 2'!F106</f>
        <v>-613063.63926940633</v>
      </c>
      <c r="D45" s="304">
        <f ca="1">'Computations 2'!G106</f>
        <v>6277957.6932439888</v>
      </c>
      <c r="E45" s="304">
        <f ca="1">'Computations 2'!H106</f>
        <v>50393188.194616541</v>
      </c>
      <c r="F45" s="304">
        <f ca="1">'Computations 2'!I106</f>
        <v>108880472.6253062</v>
      </c>
      <c r="G45" s="304">
        <f ca="1">'Computations 2'!J106</f>
        <v>156329258.75988516</v>
      </c>
      <c r="H45" s="304">
        <f ca="1">'Computations 2'!K106</f>
        <v>203785427.76770186</v>
      </c>
    </row>
    <row r="46" spans="1:15" x14ac:dyDescent="0.2">
      <c r="A46" s="239" t="s">
        <v>320</v>
      </c>
      <c r="B46" s="24"/>
      <c r="C46" s="304">
        <f>'Computations 2'!F107</f>
        <v>0</v>
      </c>
      <c r="D46" s="304">
        <f ca="1">'Computations 2'!G107</f>
        <v>0</v>
      </c>
      <c r="E46" s="304">
        <f ca="1">'Computations 2'!H107</f>
        <v>0</v>
      </c>
      <c r="F46" s="304">
        <f ca="1">'Computations 2'!I107</f>
        <v>-10078637.63892331</v>
      </c>
      <c r="G46" s="304">
        <f ca="1">'Computations 2'!J107</f>
        <v>-32664141.78759186</v>
      </c>
      <c r="H46" s="304">
        <f ca="1">'Computations 2'!K107</f>
        <v>-46898777.627965547</v>
      </c>
    </row>
    <row r="47" spans="1:15" s="245" customFormat="1" ht="3" customHeight="1" x14ac:dyDescent="0.25">
      <c r="A47" s="285"/>
      <c r="B47" s="263"/>
      <c r="C47" s="282"/>
      <c r="D47" s="282"/>
      <c r="E47" s="282"/>
      <c r="F47" s="282"/>
      <c r="G47" s="282"/>
      <c r="H47" s="282"/>
      <c r="I47" s="262"/>
      <c r="J47" s="262"/>
      <c r="K47" s="248"/>
      <c r="L47" s="262"/>
      <c r="M47" s="262"/>
      <c r="N47" s="262"/>
      <c r="O47" s="248"/>
    </row>
    <row r="48" spans="1:15" ht="3" customHeight="1" x14ac:dyDescent="0.25">
      <c r="A48" s="286"/>
      <c r="B48" s="248"/>
      <c r="C48" s="283"/>
      <c r="D48" s="283"/>
      <c r="E48" s="283"/>
      <c r="F48" s="283"/>
      <c r="G48" s="283"/>
      <c r="H48" s="283"/>
      <c r="I48" s="262"/>
      <c r="J48" s="262"/>
      <c r="K48" s="248"/>
      <c r="L48" s="262"/>
      <c r="M48" s="262"/>
      <c r="N48" s="262"/>
      <c r="O48" s="248"/>
    </row>
    <row r="49" spans="1:15" ht="12" x14ac:dyDescent="0.25">
      <c r="A49" s="264" t="s">
        <v>321</v>
      </c>
      <c r="B49" s="305"/>
      <c r="C49" s="302">
        <f ca="1">+SUM(C42:C45)</f>
        <v>751936.36073059367</v>
      </c>
      <c r="D49" s="302">
        <f ca="1">+SUM(D42:D46)</f>
        <v>7029894.0539745828</v>
      </c>
      <c r="E49" s="302">
        <f ca="1">+SUM(E42:E46)</f>
        <v>57423082.248591125</v>
      </c>
      <c r="F49" s="302">
        <f ca="1">+SUM(F42:F46)</f>
        <v>156224917.234974</v>
      </c>
      <c r="G49" s="302">
        <f ca="1">+SUM(G42:G46)</f>
        <v>289968671.84619063</v>
      </c>
      <c r="H49" s="302">
        <f ca="1">+SUM(H42:H46)</f>
        <v>479519463.7735188</v>
      </c>
    </row>
    <row r="50" spans="1:15" s="245" customFormat="1" ht="3" customHeight="1" x14ac:dyDescent="0.25">
      <c r="A50" s="285"/>
      <c r="B50" s="263"/>
      <c r="C50" s="282"/>
      <c r="D50" s="282"/>
      <c r="E50" s="282"/>
      <c r="F50" s="282"/>
      <c r="G50" s="282"/>
      <c r="H50" s="282"/>
      <c r="I50" s="262"/>
      <c r="J50" s="262"/>
      <c r="K50" s="248"/>
      <c r="L50" s="262"/>
      <c r="M50" s="262"/>
      <c r="N50" s="262"/>
      <c r="O50" s="248"/>
    </row>
    <row r="51" spans="1:15" ht="3" customHeight="1" x14ac:dyDescent="0.25">
      <c r="A51" s="286"/>
      <c r="B51" s="248"/>
      <c r="C51" s="283"/>
      <c r="D51" s="283"/>
      <c r="E51" s="283"/>
      <c r="F51" s="283"/>
      <c r="G51" s="283"/>
      <c r="H51" s="283"/>
      <c r="I51" s="262"/>
      <c r="J51" s="262"/>
      <c r="K51" s="248"/>
      <c r="L51" s="262"/>
      <c r="M51" s="262"/>
      <c r="N51" s="262"/>
      <c r="O51" s="248"/>
    </row>
    <row r="52" spans="1:15" x14ac:dyDescent="0.2">
      <c r="A52" s="239" t="s">
        <v>322</v>
      </c>
      <c r="B52" s="24"/>
      <c r="C52" s="304">
        <f>'Computations 2'!F124</f>
        <v>0</v>
      </c>
      <c r="D52" s="304">
        <f>'Computations 2'!G124</f>
        <v>0</v>
      </c>
      <c r="E52" s="304">
        <f>'Computations 2'!H124</f>
        <v>0</v>
      </c>
      <c r="F52" s="304">
        <f>'Computations 2'!I124</f>
        <v>0</v>
      </c>
      <c r="G52" s="304">
        <f>'Computations 2'!J124</f>
        <v>0</v>
      </c>
      <c r="H52" s="304">
        <f>'Computations 2'!K124</f>
        <v>0</v>
      </c>
    </row>
    <row r="53" spans="1:15" x14ac:dyDescent="0.2">
      <c r="A53" s="239" t="s">
        <v>323</v>
      </c>
      <c r="B53" s="24"/>
      <c r="C53" s="304">
        <f ca="1">+' Cash Flow Statement'!B51</f>
        <v>-318236.11004556785</v>
      </c>
      <c r="D53" s="304">
        <f ca="1">+' Cash Flow Statement'!C51</f>
        <v>-9215020.752354743</v>
      </c>
      <c r="E53" s="304">
        <f ca="1">+' Cash Flow Statement'!D51</f>
        <v>-44386204.829520822</v>
      </c>
      <c r="F53" s="304">
        <f ca="1">+' Cash Flow Statement'!E51</f>
        <v>-166706107.2471202</v>
      </c>
      <c r="G53" s="304">
        <f ca="1">+' Cash Flow Statement'!F51</f>
        <v>-308195480.51960135</v>
      </c>
      <c r="H53" s="304">
        <f ca="1">+' Cash Flow Statement'!G51</f>
        <v>-504375234.02971315</v>
      </c>
    </row>
    <row r="54" spans="1:15" s="245" customFormat="1" ht="3" customHeight="1" x14ac:dyDescent="0.25">
      <c r="A54" s="285"/>
      <c r="B54" s="263"/>
      <c r="C54" s="282"/>
      <c r="D54" s="282"/>
      <c r="E54" s="282"/>
      <c r="F54" s="282"/>
      <c r="G54" s="282"/>
      <c r="H54" s="282"/>
      <c r="I54" s="262"/>
      <c r="J54" s="262"/>
      <c r="K54" s="248"/>
      <c r="L54" s="262"/>
      <c r="M54" s="262"/>
      <c r="N54" s="262"/>
      <c r="O54" s="248"/>
    </row>
    <row r="55" spans="1:15" ht="3" customHeight="1" x14ac:dyDescent="0.25">
      <c r="A55" s="286"/>
      <c r="B55" s="248"/>
      <c r="C55" s="283"/>
      <c r="D55" s="283"/>
      <c r="E55" s="283"/>
      <c r="F55" s="283"/>
      <c r="G55" s="283"/>
      <c r="H55" s="283"/>
      <c r="I55" s="262"/>
      <c r="J55" s="262"/>
      <c r="K55" s="248"/>
      <c r="L55" s="262"/>
      <c r="M55" s="262"/>
      <c r="N55" s="262"/>
      <c r="O55" s="248"/>
    </row>
    <row r="56" spans="1:15" ht="12" x14ac:dyDescent="0.25">
      <c r="A56" s="264" t="s">
        <v>324</v>
      </c>
      <c r="B56" s="305"/>
      <c r="C56" s="302">
        <f t="shared" ref="C56:H56" ca="1" si="5">+C52+C53</f>
        <v>-318236.11004556785</v>
      </c>
      <c r="D56" s="302">
        <f t="shared" ca="1" si="5"/>
        <v>-9215020.752354743</v>
      </c>
      <c r="E56" s="302">
        <f t="shared" ca="1" si="5"/>
        <v>-44386204.829520822</v>
      </c>
      <c r="F56" s="302">
        <f t="shared" ca="1" si="5"/>
        <v>-166706107.2471202</v>
      </c>
      <c r="G56" s="302">
        <f t="shared" ca="1" si="5"/>
        <v>-308195480.51960135</v>
      </c>
      <c r="H56" s="302">
        <f t="shared" ca="1" si="5"/>
        <v>-504375234.02971315</v>
      </c>
    </row>
    <row r="57" spans="1:15" s="245" customFormat="1" ht="3" customHeight="1" x14ac:dyDescent="0.25">
      <c r="A57" s="285"/>
      <c r="B57" s="263"/>
      <c r="C57" s="282"/>
      <c r="D57" s="282"/>
      <c r="E57" s="282"/>
      <c r="F57" s="282"/>
      <c r="G57" s="282"/>
      <c r="H57" s="282"/>
      <c r="I57" s="262"/>
      <c r="J57" s="262"/>
      <c r="K57" s="248"/>
      <c r="L57" s="262"/>
      <c r="M57" s="262"/>
      <c r="N57" s="262"/>
      <c r="O57" s="248"/>
    </row>
    <row r="58" spans="1:15" ht="3" customHeight="1" x14ac:dyDescent="0.25">
      <c r="A58" s="286"/>
      <c r="B58" s="248"/>
      <c r="C58" s="283"/>
      <c r="D58" s="283"/>
      <c r="E58" s="283"/>
      <c r="F58" s="283"/>
      <c r="G58" s="283"/>
      <c r="H58" s="283"/>
      <c r="I58" s="262"/>
      <c r="J58" s="262"/>
      <c r="K58" s="248"/>
      <c r="L58" s="262"/>
      <c r="M58" s="262"/>
      <c r="N58" s="262"/>
      <c r="O58" s="248"/>
    </row>
    <row r="59" spans="1:15" ht="12" x14ac:dyDescent="0.25">
      <c r="A59" s="249" t="s">
        <v>315</v>
      </c>
      <c r="B59" s="305"/>
      <c r="C59" s="302">
        <f t="shared" ref="C59:H59" ca="1" si="6">+C49+C56</f>
        <v>433700.25068502582</v>
      </c>
      <c r="D59" s="302">
        <f t="shared" ca="1" si="6"/>
        <v>-2185126.6983801601</v>
      </c>
      <c r="E59" s="302">
        <f t="shared" ca="1" si="6"/>
        <v>13036877.419070303</v>
      </c>
      <c r="F59" s="302">
        <f t="shared" ca="1" si="6"/>
        <v>-10481190.012146205</v>
      </c>
      <c r="G59" s="302">
        <f t="shared" ca="1" si="6"/>
        <v>-18226808.673410714</v>
      </c>
      <c r="H59" s="302">
        <f t="shared" ca="1" si="6"/>
        <v>-24855770.256194353</v>
      </c>
    </row>
    <row r="60" spans="1:15" x14ac:dyDescent="0.2">
      <c r="A60" s="74"/>
      <c r="B60" s="75"/>
      <c r="C60" s="75"/>
      <c r="D60" s="75"/>
      <c r="E60" s="75"/>
      <c r="F60" s="75"/>
      <c r="G60" s="75"/>
      <c r="H60" s="75"/>
    </row>
  </sheetData>
  <pageMargins left="0.74803149606299213" right="0.74803149606299213" top="0.98425196850393704" bottom="0.98425196850393704" header="0.51181102362204722" footer="0.51181102362204722"/>
  <pageSetup paperSize="9" scale="5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4:H311"/>
  <sheetViews>
    <sheetView topLeftCell="A104" workbookViewId="0">
      <selection activeCell="X251" sqref="X251"/>
    </sheetView>
  </sheetViews>
  <sheetFormatPr defaultRowHeight="11.4" x14ac:dyDescent="0.2"/>
  <cols>
    <col min="2" max="2" width="29.875" bestFit="1" customWidth="1"/>
    <col min="3" max="3" width="13.625" bestFit="1" customWidth="1"/>
    <col min="4" max="5" width="14.75" bestFit="1" customWidth="1"/>
    <col min="6" max="8" width="15.75" bestFit="1" customWidth="1"/>
  </cols>
  <sheetData>
    <row r="4" spans="2:8" x14ac:dyDescent="0.2">
      <c r="B4" t="s">
        <v>261</v>
      </c>
    </row>
    <row r="6" spans="2:8" x14ac:dyDescent="0.2">
      <c r="C6">
        <v>2021</v>
      </c>
      <c r="D6">
        <f>C6+1</f>
        <v>2022</v>
      </c>
      <c r="E6">
        <f>D6+1</f>
        <v>2023</v>
      </c>
      <c r="F6">
        <f>E6+1</f>
        <v>2024</v>
      </c>
      <c r="G6">
        <f>F6+1</f>
        <v>2025</v>
      </c>
      <c r="H6">
        <f>G6+1</f>
        <v>2026</v>
      </c>
    </row>
    <row r="7" spans="2:8" x14ac:dyDescent="0.2">
      <c r="B7" s="5" t="s">
        <v>263</v>
      </c>
      <c r="C7" s="313">
        <f>'Profit &amp; Loss Account'!B15</f>
        <v>618333.33333333349</v>
      </c>
      <c r="D7" s="313">
        <f>'Profit &amp; Loss Account'!C15</f>
        <v>15868382.260191355</v>
      </c>
      <c r="E7" s="313">
        <f>'Profit &amp; Loss Account'!D15</f>
        <v>82763830.721210986</v>
      </c>
      <c r="F7" s="313">
        <f>'Profit &amp; Loss Account'!E15</f>
        <v>189014250.59499994</v>
      </c>
      <c r="G7" s="313">
        <f>'Profit &amp; Loss Account'!F15</f>
        <v>285641648.76089346</v>
      </c>
      <c r="H7" s="313">
        <f>'Profit &amp; Loss Account'!G15</f>
        <v>394048244.62473941</v>
      </c>
    </row>
    <row r="8" spans="2:8" x14ac:dyDescent="0.2">
      <c r="B8" t="s">
        <v>262</v>
      </c>
      <c r="C8" s="313">
        <f>-('Profit &amp; Loss Account'!B60+'Profit &amp; Loss Account'!B61+'Profit &amp; Loss Account'!B62)</f>
        <v>59895.436677063561</v>
      </c>
      <c r="D8" s="313">
        <f>-('Profit &amp; Loss Account'!C60+'Profit &amp; Loss Account'!C61+'Profit &amp; Loss Account'!C62)</f>
        <v>468837.53290152829</v>
      </c>
      <c r="E8" s="313">
        <f ca="1">-('Profit &amp; Loss Account'!D60+'Profit &amp; Loss Account'!D61+'Profit &amp; Loss Account'!D62)</f>
        <v>5061601.3197296215</v>
      </c>
      <c r="F8" s="313">
        <f ca="1">-('Profit &amp; Loss Account'!E60+'Profit &amp; Loss Account'!E61+'Profit &amp; Loss Account'!E62)</f>
        <v>6790070.8998444453</v>
      </c>
      <c r="G8" s="313">
        <f ca="1">-('Profit &amp; Loss Account'!F60+'Profit &amp; Loss Account'!F61+'Profit &amp; Loss Account'!F62)</f>
        <v>8528714.7401867658</v>
      </c>
      <c r="H8" s="313">
        <f ca="1">-('Profit &amp; Loss Account'!G60+'Profit &amp; Loss Account'!G61+'Profit &amp; Loss Account'!G62)</f>
        <v>10742809.279852629</v>
      </c>
    </row>
    <row r="9" spans="2:8" x14ac:dyDescent="0.2">
      <c r="B9" t="s">
        <v>146</v>
      </c>
      <c r="C9" s="313">
        <f ca="1">'Profit &amp; Loss Account'!B73</f>
        <v>-613063.63926940633</v>
      </c>
      <c r="D9" s="313">
        <f ca="1">'Profit &amp; Loss Account'!C73</f>
        <v>6106333.7469700165</v>
      </c>
      <c r="E9" s="313">
        <f ca="1">'Profit &amp; Loss Account'!D73</f>
        <v>52182134.564156331</v>
      </c>
      <c r="F9" s="313">
        <f ca="1">'Profit &amp; Loss Account'!E73</f>
        <v>123765954.96349953</v>
      </c>
      <c r="G9" s="313">
        <f ca="1">'Profit &amp; Loss Account'!F73</f>
        <v>191542275.23814866</v>
      </c>
      <c r="H9" s="313">
        <f ca="1">'Profit &amp; Loss Account'!G73</f>
        <v>258393989.00987837</v>
      </c>
    </row>
    <row r="23" spans="2:8" x14ac:dyDescent="0.2">
      <c r="B23" s="5" t="s">
        <v>291</v>
      </c>
    </row>
    <row r="24" spans="2:8" x14ac:dyDescent="0.2">
      <c r="C24">
        <v>2021</v>
      </c>
      <c r="D24">
        <f>C24+1</f>
        <v>2022</v>
      </c>
      <c r="E24">
        <f>D24+1</f>
        <v>2023</v>
      </c>
      <c r="F24">
        <f>E24+1</f>
        <v>2024</v>
      </c>
      <c r="G24">
        <f>F24+1</f>
        <v>2025</v>
      </c>
      <c r="H24">
        <f>G24+1</f>
        <v>2026</v>
      </c>
    </row>
    <row r="25" spans="2:8" x14ac:dyDescent="0.2">
      <c r="B25" s="5" t="s">
        <v>263</v>
      </c>
      <c r="C25" s="313">
        <f>'Profit &amp; Loss Account'!B15</f>
        <v>618333.33333333349</v>
      </c>
      <c r="D25" s="313">
        <f>'Profit &amp; Loss Account'!C15</f>
        <v>15868382.260191355</v>
      </c>
      <c r="E25" s="313">
        <f>'Profit &amp; Loss Account'!D15</f>
        <v>82763830.721210986</v>
      </c>
      <c r="F25" s="313">
        <f>'Profit &amp; Loss Account'!E15</f>
        <v>189014250.59499994</v>
      </c>
      <c r="G25" s="313">
        <f>'Profit &amp; Loss Account'!F15</f>
        <v>285641648.76089346</v>
      </c>
      <c r="H25" s="313">
        <f>'Profit &amp; Loss Account'!G15</f>
        <v>394048244.62473941</v>
      </c>
    </row>
    <row r="26" spans="2:8" x14ac:dyDescent="0.2">
      <c r="B26" s="5" t="s">
        <v>293</v>
      </c>
      <c r="C26" s="313">
        <f ca="1">-('Profit &amp; Loss Account'!B23+'Profit &amp; Loss Account'!B31+'Profit &amp; Loss Account'!B39+'Profit &amp; Loss Account'!B53)</f>
        <v>1171501.5359256761</v>
      </c>
      <c r="D26" s="313">
        <f ca="1">-('Profit &amp; Loss Account'!C23+'Profit &amp; Loss Account'!C31+'Profit &amp; Loss Account'!C39+'Profit &amp; Loss Account'!C53)</f>
        <v>9421829.1466992721</v>
      </c>
      <c r="E26" s="313">
        <f ca="1">-('Profit &amp; Loss Account'!D23+'Profit &amp; Loss Account'!D31+'Profit &amp; Loss Account'!D39+'Profit &amp; Loss Account'!D53)</f>
        <v>25722411.737622757</v>
      </c>
      <c r="F26" s="313">
        <f ca="1">-('Profit &amp; Loss Account'!E23+'Profit &amp; Loss Account'!E31+'Profit &amp; Loss Account'!E39+'Profit &amp; Loss Account'!E53)</f>
        <v>58828104.151151732</v>
      </c>
      <c r="G26" s="313">
        <f ca="1">-('Profit &amp; Loss Account'!F23+'Profit &amp; Loss Account'!F31+'Profit &amp; Loss Account'!F39+'Profit &amp; Loss Account'!F53)</f>
        <v>86276648.981911585</v>
      </c>
      <c r="H26" s="313">
        <f ca="1">-('Profit &amp; Loss Account'!G23+'Profit &amp; Loss Account'!G31+'Profit &amp; Loss Account'!G39+'Profit &amp; Loss Account'!G53)</f>
        <v>126170405.56316611</v>
      </c>
    </row>
    <row r="27" spans="2:8" x14ac:dyDescent="0.2">
      <c r="B27" s="5" t="s">
        <v>17</v>
      </c>
      <c r="C27" s="313">
        <f ca="1">'Profit &amp; Loss Account'!B56</f>
        <v>-553168.20259234274</v>
      </c>
      <c r="D27" s="313">
        <f ca="1">'Profit &amp; Loss Account'!C56</f>
        <v>6446553.1134920837</v>
      </c>
      <c r="E27" s="313">
        <f ca="1">'Profit &amp; Loss Account'!D56</f>
        <v>57041418.983588234</v>
      </c>
      <c r="F27" s="313">
        <f ca="1">'Profit &amp; Loss Account'!E56</f>
        <v>130186146.44384822</v>
      </c>
      <c r="G27" s="313">
        <f ca="1">'Profit &amp; Loss Account'!F56</f>
        <v>199364999.77898189</v>
      </c>
      <c r="H27" s="313">
        <f ca="1">'Profit &amp; Loss Account'!G56</f>
        <v>267877839.06157327</v>
      </c>
    </row>
    <row r="28" spans="2:8" x14ac:dyDescent="0.2">
      <c r="B28" s="5" t="s">
        <v>20</v>
      </c>
      <c r="C28" s="313">
        <f ca="1">'Profit &amp; Loss Account'!B65</f>
        <v>-613063.63926940633</v>
      </c>
      <c r="D28" s="313">
        <f ca="1">'Profit &amp; Loss Account'!C65</f>
        <v>6106333.7469700165</v>
      </c>
      <c r="E28" s="313">
        <f ca="1">'Profit &amp; Loss Account'!D65</f>
        <v>52182134.564156331</v>
      </c>
      <c r="F28" s="313">
        <f ca="1">'Profit &amp; Loss Account'!E65</f>
        <v>123765954.96349953</v>
      </c>
      <c r="G28" s="313">
        <f ca="1">'Profit &amp; Loss Account'!F65</f>
        <v>191542275.23814866</v>
      </c>
      <c r="H28" s="313">
        <f ca="1">'Profit &amp; Loss Account'!G65</f>
        <v>258393989.00987837</v>
      </c>
    </row>
    <row r="29" spans="2:8" x14ac:dyDescent="0.2">
      <c r="B29" s="5" t="s">
        <v>146</v>
      </c>
      <c r="C29" s="313">
        <f ca="1">'Profit &amp; Loss Account'!B73</f>
        <v>-613063.63926940633</v>
      </c>
      <c r="D29" s="313">
        <f ca="1">'Profit &amp; Loss Account'!C73</f>
        <v>6106333.7469700165</v>
      </c>
      <c r="E29" s="313">
        <f ca="1">'Profit &amp; Loss Account'!D73</f>
        <v>52182134.564156331</v>
      </c>
      <c r="F29" s="313">
        <f ca="1">'Profit &amp; Loss Account'!E73</f>
        <v>123765954.96349953</v>
      </c>
      <c r="G29" s="313">
        <f ca="1">'Profit &amp; Loss Account'!F73</f>
        <v>191542275.23814866</v>
      </c>
      <c r="H29" s="313">
        <f ca="1">'Profit &amp; Loss Account'!G73</f>
        <v>258393989.00987837</v>
      </c>
    </row>
    <row r="30" spans="2:8" x14ac:dyDescent="0.2">
      <c r="B30" s="5" t="s">
        <v>292</v>
      </c>
      <c r="C30" s="313">
        <f ca="1">'Profit &amp; Loss Account'!B79</f>
        <v>-613063.63926940633</v>
      </c>
      <c r="D30" s="313">
        <f ca="1">'Profit &amp; Loss Account'!C79</f>
        <v>6277957.6932439888</v>
      </c>
      <c r="E30" s="313">
        <f ca="1">'Profit &amp; Loss Account'!D79</f>
        <v>50393188.194616541</v>
      </c>
      <c r="F30" s="313">
        <f ca="1">'Profit &amp; Loss Account'!E79</f>
        <v>108880472.6253062</v>
      </c>
      <c r="G30" s="313">
        <f ca="1">'Profit &amp; Loss Account'!F79</f>
        <v>156329258.75988516</v>
      </c>
      <c r="H30" s="313">
        <f ca="1">'Profit &amp; Loss Account'!G79</f>
        <v>203785427.76770186</v>
      </c>
    </row>
    <row r="41" spans="2:8" x14ac:dyDescent="0.2">
      <c r="B41" s="5" t="s">
        <v>263</v>
      </c>
    </row>
    <row r="42" spans="2:8" x14ac:dyDescent="0.2">
      <c r="C42">
        <v>2021</v>
      </c>
      <c r="D42">
        <f>C42+1</f>
        <v>2022</v>
      </c>
      <c r="E42">
        <f>D42+1</f>
        <v>2023</v>
      </c>
      <c r="F42">
        <f>E42+1</f>
        <v>2024</v>
      </c>
      <c r="G42">
        <f>F42+1</f>
        <v>2025</v>
      </c>
      <c r="H42">
        <f>G42+1</f>
        <v>2026</v>
      </c>
    </row>
    <row r="43" spans="2:8" x14ac:dyDescent="0.2">
      <c r="B43" s="5" t="s">
        <v>263</v>
      </c>
      <c r="C43" s="313">
        <f>'Profit &amp; Loss Account'!B15</f>
        <v>618333.33333333349</v>
      </c>
      <c r="D43" s="313">
        <f>'Profit &amp; Loss Account'!C15</f>
        <v>15868382.260191355</v>
      </c>
      <c r="E43" s="313">
        <f>'Profit &amp; Loss Account'!D15</f>
        <v>82763830.721210986</v>
      </c>
      <c r="F43" s="313">
        <f>'Profit &amp; Loss Account'!E15</f>
        <v>189014250.59499994</v>
      </c>
      <c r="G43" s="313">
        <f>'Profit &amp; Loss Account'!F15</f>
        <v>285641648.76089346</v>
      </c>
      <c r="H43" s="313">
        <f>'Profit &amp; Loss Account'!G15</f>
        <v>394048244.62473941</v>
      </c>
    </row>
    <row r="56" spans="2:8" x14ac:dyDescent="0.2">
      <c r="B56" s="5" t="s">
        <v>264</v>
      </c>
    </row>
    <row r="57" spans="2:8" x14ac:dyDescent="0.2">
      <c r="C57">
        <v>2021</v>
      </c>
      <c r="D57">
        <f>C57+1</f>
        <v>2022</v>
      </c>
      <c r="E57">
        <f>D57+1</f>
        <v>2023</v>
      </c>
      <c r="F57">
        <f>E57+1</f>
        <v>2024</v>
      </c>
      <c r="G57">
        <f>F57+1</f>
        <v>2025</v>
      </c>
      <c r="H57">
        <f>G57+1</f>
        <v>2026</v>
      </c>
    </row>
    <row r="58" spans="2:8" x14ac:dyDescent="0.2">
      <c r="B58" s="5" t="s">
        <v>264</v>
      </c>
      <c r="C58" s="313">
        <f ca="1">'Profit &amp; Loss Account'!B79</f>
        <v>-613063.63926940633</v>
      </c>
      <c r="D58" s="313">
        <f ca="1">'Profit &amp; Loss Account'!C79</f>
        <v>6277957.6932439888</v>
      </c>
      <c r="E58" s="313">
        <f ca="1">'Profit &amp; Loss Account'!D79</f>
        <v>50393188.194616541</v>
      </c>
      <c r="F58" s="313">
        <f ca="1">'Profit &amp; Loss Account'!E79</f>
        <v>108880472.6253062</v>
      </c>
      <c r="G58" s="313">
        <f ca="1">'Profit &amp; Loss Account'!F79</f>
        <v>156329258.75988516</v>
      </c>
      <c r="H58" s="313">
        <f ca="1">'Profit &amp; Loss Account'!G79</f>
        <v>203785427.76770186</v>
      </c>
    </row>
    <row r="81" spans="2:8" x14ac:dyDescent="0.2">
      <c r="B81" s="5" t="s">
        <v>265</v>
      </c>
    </row>
    <row r="82" spans="2:8" x14ac:dyDescent="0.2">
      <c r="C82">
        <v>2021</v>
      </c>
      <c r="D82">
        <f>C82+1</f>
        <v>2022</v>
      </c>
      <c r="E82">
        <f>D82+1</f>
        <v>2023</v>
      </c>
      <c r="F82">
        <f>E82+1</f>
        <v>2024</v>
      </c>
      <c r="G82">
        <f>F82+1</f>
        <v>2025</v>
      </c>
      <c r="H82">
        <f>G82+1</f>
        <v>2026</v>
      </c>
    </row>
    <row r="83" spans="2:8" x14ac:dyDescent="0.2">
      <c r="B83" s="5" t="s">
        <v>265</v>
      </c>
      <c r="C83" s="313">
        <f>'Balance Sheet'!C23</f>
        <v>62002.739726027408</v>
      </c>
      <c r="D83" s="313">
        <f>'Balance Sheet'!D23</f>
        <v>1591185.7280082291</v>
      </c>
      <c r="E83" s="313">
        <f>'Balance Sheet'!E23</f>
        <v>8299058.0942364987</v>
      </c>
      <c r="F83" s="313">
        <f>'Balance Sheet'!F23</f>
        <v>18953209.785690404</v>
      </c>
      <c r="G83" s="313">
        <f>'Balance Sheet'!G23</f>
        <v>28642422.862051234</v>
      </c>
      <c r="H83" s="313">
        <f>'Balance Sheet'!H23</f>
        <v>39512782.885658801</v>
      </c>
    </row>
    <row r="101" spans="2:8" x14ac:dyDescent="0.2">
      <c r="B101" s="5" t="s">
        <v>266</v>
      </c>
    </row>
    <row r="102" spans="2:8" x14ac:dyDescent="0.2">
      <c r="C102">
        <v>2021</v>
      </c>
      <c r="D102">
        <f>C102+1</f>
        <v>2022</v>
      </c>
      <c r="E102">
        <f>D102+1</f>
        <v>2023</v>
      </c>
      <c r="F102">
        <f>E102+1</f>
        <v>2024</v>
      </c>
      <c r="G102">
        <f>F102+1</f>
        <v>2025</v>
      </c>
      <c r="H102">
        <f>G102+1</f>
        <v>2026</v>
      </c>
    </row>
    <row r="103" spans="2:8" x14ac:dyDescent="0.2">
      <c r="B103" s="5" t="s">
        <v>266</v>
      </c>
      <c r="C103" s="268">
        <f ca="1">-' Cash Flow Statement'!B51</f>
        <v>318236.11004556785</v>
      </c>
      <c r="D103" s="268">
        <f ca="1">-' Cash Flow Statement'!C51</f>
        <v>9215020.752354743</v>
      </c>
      <c r="E103" s="268">
        <f ca="1">-' Cash Flow Statement'!D51</f>
        <v>44386204.829520822</v>
      </c>
      <c r="F103" s="268">
        <f ca="1">-' Cash Flow Statement'!E51</f>
        <v>166706107.2471202</v>
      </c>
      <c r="G103" s="268">
        <f ca="1">-' Cash Flow Statement'!F51</f>
        <v>308195480.51960135</v>
      </c>
      <c r="H103" s="268">
        <f ca="1">-' Cash Flow Statement'!G51</f>
        <v>504375234.02971315</v>
      </c>
    </row>
    <row r="122" spans="2:8" x14ac:dyDescent="0.2">
      <c r="B122" s="5" t="s">
        <v>267</v>
      </c>
    </row>
    <row r="123" spans="2:8" x14ac:dyDescent="0.2">
      <c r="C123">
        <v>2021</v>
      </c>
      <c r="D123">
        <f>C123+1</f>
        <v>2022</v>
      </c>
      <c r="E123">
        <f>D123+1</f>
        <v>2023</v>
      </c>
      <c r="F123">
        <f>E123+1</f>
        <v>2024</v>
      </c>
      <c r="G123">
        <f>F123+1</f>
        <v>2025</v>
      </c>
      <c r="H123">
        <f>G123+1</f>
        <v>2026</v>
      </c>
    </row>
    <row r="124" spans="2:8" x14ac:dyDescent="0.2">
      <c r="B124" s="5" t="s">
        <v>269</v>
      </c>
      <c r="C124" s="313">
        <f>'Balance Sheet'!C20+'Balance Sheet'!C27</f>
        <v>153838.30151368064</v>
      </c>
      <c r="D124" s="313">
        <f>'Balance Sheet'!D20+'Balance Sheet'!D27</f>
        <v>1435562.6962898695</v>
      </c>
      <c r="E124" s="313">
        <f ca="1">'Balance Sheet'!E20+'Balance Sheet'!E27</f>
        <v>33504169.37218453</v>
      </c>
      <c r="F124" s="313">
        <f ca="1">'Balance Sheet'!F20+'Balance Sheet'!F27</f>
        <v>43727732.779830985</v>
      </c>
      <c r="G124" s="313">
        <f ca="1">'Balance Sheet'!G20+'Balance Sheet'!G27</f>
        <v>56013811.654340133</v>
      </c>
      <c r="H124" s="313">
        <f ca="1">'Balance Sheet'!H20+'Balance Sheet'!H27</f>
        <v>72739793.041775793</v>
      </c>
    </row>
    <row r="142" spans="2:8" x14ac:dyDescent="0.2">
      <c r="B142" s="5" t="s">
        <v>268</v>
      </c>
    </row>
    <row r="143" spans="2:8" x14ac:dyDescent="0.2">
      <c r="C143">
        <v>2021</v>
      </c>
      <c r="D143">
        <f>C143+1</f>
        <v>2022</v>
      </c>
      <c r="E143">
        <f>D143+1</f>
        <v>2023</v>
      </c>
      <c r="F143">
        <f>E143+1</f>
        <v>2024</v>
      </c>
      <c r="G143">
        <f>F143+1</f>
        <v>2025</v>
      </c>
      <c r="H143">
        <f>G143+1</f>
        <v>2026</v>
      </c>
    </row>
    <row r="144" spans="2:8" x14ac:dyDescent="0.2">
      <c r="B144" s="5" t="s">
        <v>271</v>
      </c>
      <c r="C144" s="313">
        <f>'Profit &amp; Loss Account'!B18</f>
        <v>333333.33333333349</v>
      </c>
      <c r="D144" s="313">
        <f>'Profit &amp; Loss Account'!C18</f>
        <v>9067647.0058236327</v>
      </c>
      <c r="E144" s="313">
        <f>'Profit &amp; Loss Account'!D18</f>
        <v>47293617.554977715</v>
      </c>
      <c r="F144" s="313">
        <f>'Profit &amp; Loss Account'!E18</f>
        <v>108008143.19714284</v>
      </c>
      <c r="G144" s="313">
        <f>'Profit &amp; Loss Account'!F18</f>
        <v>163223799.29193917</v>
      </c>
      <c r="H144" s="313">
        <f>'Profit &amp; Loss Account'!G18</f>
        <v>225170425.49985108</v>
      </c>
    </row>
    <row r="145" spans="2:8" x14ac:dyDescent="0.2">
      <c r="B145" s="5" t="s">
        <v>270</v>
      </c>
      <c r="C145" s="313">
        <f>'Profit &amp; Loss Account'!B19</f>
        <v>85000</v>
      </c>
      <c r="D145" s="313">
        <f>'Profit &amp; Loss Account'!C19</f>
        <v>1360147.0508735443</v>
      </c>
      <c r="E145" s="313">
        <f>'Profit &amp; Loss Account'!D19</f>
        <v>7094042.6332466556</v>
      </c>
      <c r="F145" s="313">
        <f>'Profit &amp; Loss Account'!E19</f>
        <v>16201221.479571419</v>
      </c>
      <c r="G145" s="313">
        <f>'Profit &amp; Loss Account'!F19</f>
        <v>24483569.893790863</v>
      </c>
      <c r="H145" s="313">
        <f>'Profit &amp; Loss Account'!G19</f>
        <v>33775563.824977651</v>
      </c>
    </row>
    <row r="146" spans="2:8" x14ac:dyDescent="0.2">
      <c r="B146" s="5" t="s">
        <v>272</v>
      </c>
      <c r="C146" s="313">
        <f>'Profit &amp; Loss Account'!B20</f>
        <v>200000</v>
      </c>
      <c r="D146" s="313">
        <f>'Profit &amp; Loss Account'!C20</f>
        <v>5440588.2034941772</v>
      </c>
      <c r="E146" s="313">
        <f>'Profit &amp; Loss Account'!D20</f>
        <v>28376170.532986622</v>
      </c>
      <c r="F146" s="313">
        <f>'Profit &amp; Loss Account'!E20</f>
        <v>64804885.918285675</v>
      </c>
      <c r="G146" s="313">
        <f>'Profit &amp; Loss Account'!F20</f>
        <v>97934279.575163454</v>
      </c>
      <c r="H146" s="313">
        <f>'Profit &amp; Loss Account'!G20</f>
        <v>135102255.29991063</v>
      </c>
    </row>
    <row r="160" spans="2:8" x14ac:dyDescent="0.2">
      <c r="B160" s="5" t="s">
        <v>273</v>
      </c>
    </row>
    <row r="161" spans="2:3" x14ac:dyDescent="0.2">
      <c r="C161">
        <v>2021</v>
      </c>
    </row>
    <row r="162" spans="2:3" x14ac:dyDescent="0.2">
      <c r="B162" s="5" t="s">
        <v>271</v>
      </c>
      <c r="C162" s="18">
        <f>C144/($C$144+$C$145+$C$146)</f>
        <v>0.53908355795148255</v>
      </c>
    </row>
    <row r="163" spans="2:3" x14ac:dyDescent="0.2">
      <c r="B163" s="5" t="s">
        <v>270</v>
      </c>
      <c r="C163" s="18">
        <f>C145/($C$144+$C$145+$C$146)</f>
        <v>0.13746630727762799</v>
      </c>
    </row>
    <row r="164" spans="2:3" x14ac:dyDescent="0.2">
      <c r="B164" s="5" t="s">
        <v>272</v>
      </c>
      <c r="C164" s="18">
        <f>C146/($C$144+$C$145+$C$146)</f>
        <v>0.32345013477088941</v>
      </c>
    </row>
    <row r="183" spans="2:3" x14ac:dyDescent="0.2">
      <c r="B183" s="5" t="s">
        <v>274</v>
      </c>
    </row>
    <row r="184" spans="2:3" x14ac:dyDescent="0.2">
      <c r="C184">
        <v>2021</v>
      </c>
    </row>
    <row r="185" spans="2:3" x14ac:dyDescent="0.2">
      <c r="B185" s="5" t="s">
        <v>271</v>
      </c>
      <c r="C185" s="18">
        <f>H144/($H$144+$H$145+$H$146)</f>
        <v>0.5714285714285714</v>
      </c>
    </row>
    <row r="186" spans="2:3" x14ac:dyDescent="0.2">
      <c r="B186" s="5" t="s">
        <v>270</v>
      </c>
      <c r="C186" s="18">
        <f>H145/($H$144+$H$145+$H$146)</f>
        <v>8.5714285714285687E-2</v>
      </c>
    </row>
    <row r="187" spans="2:3" x14ac:dyDescent="0.2">
      <c r="B187" s="5" t="s">
        <v>272</v>
      </c>
      <c r="C187" s="18">
        <f>H146/($H$144+$H$145+$H$146)</f>
        <v>0.3428571428571428</v>
      </c>
    </row>
    <row r="205" spans="2:8" x14ac:dyDescent="0.2">
      <c r="B205" s="5" t="s">
        <v>275</v>
      </c>
    </row>
    <row r="206" spans="2:8" x14ac:dyDescent="0.2">
      <c r="C206">
        <v>2021</v>
      </c>
      <c r="D206">
        <f>C206+1</f>
        <v>2022</v>
      </c>
      <c r="E206">
        <f>D206+1</f>
        <v>2023</v>
      </c>
      <c r="F206">
        <f>E206+1</f>
        <v>2024</v>
      </c>
      <c r="G206">
        <f>F206+1</f>
        <v>2025</v>
      </c>
      <c r="H206">
        <f>G206+1</f>
        <v>2026</v>
      </c>
    </row>
    <row r="207" spans="2:8" x14ac:dyDescent="0.2">
      <c r="B207" s="5" t="s">
        <v>262</v>
      </c>
      <c r="C207" s="313">
        <f>-('Profit &amp; Loss Account'!B60+'Profit &amp; Loss Account'!B61+'Profit &amp; Loss Account'!B62)</f>
        <v>59895.436677063561</v>
      </c>
      <c r="D207" s="313">
        <f>-('Profit &amp; Loss Account'!C60+'Profit &amp; Loss Account'!C61+'Profit &amp; Loss Account'!C62)</f>
        <v>468837.53290152829</v>
      </c>
      <c r="E207" s="313">
        <f ca="1">-('Profit &amp; Loss Account'!D60+'Profit &amp; Loss Account'!D61+'Profit &amp; Loss Account'!D62)</f>
        <v>5061601.3197296215</v>
      </c>
      <c r="F207" s="313">
        <f ca="1">-('Profit &amp; Loss Account'!E60+'Profit &amp; Loss Account'!E61+'Profit &amp; Loss Account'!E62)</f>
        <v>6790070.8998444453</v>
      </c>
      <c r="G207" s="313">
        <f ca="1">-('Profit &amp; Loss Account'!F60+'Profit &amp; Loss Account'!F61+'Profit &amp; Loss Account'!F62)</f>
        <v>8528714.7401867658</v>
      </c>
      <c r="H207" s="313">
        <f ca="1">-('Profit &amp; Loss Account'!G60+'Profit &amp; Loss Account'!G61+'Profit &amp; Loss Account'!G62)</f>
        <v>10742809.279852629</v>
      </c>
    </row>
    <row r="208" spans="2:8" x14ac:dyDescent="0.2">
      <c r="B208" s="5" t="s">
        <v>264</v>
      </c>
      <c r="C208" s="313">
        <f ca="1">'Profit &amp; Loss Account'!B79</f>
        <v>-613063.63926940633</v>
      </c>
      <c r="D208" s="313">
        <f ca="1">'Profit &amp; Loss Account'!C79</f>
        <v>6277957.6932439888</v>
      </c>
      <c r="E208" s="313">
        <f ca="1">'Profit &amp; Loss Account'!D79</f>
        <v>50393188.194616541</v>
      </c>
      <c r="F208" s="313">
        <f ca="1">'Profit &amp; Loss Account'!E79</f>
        <v>108880472.6253062</v>
      </c>
      <c r="G208" s="313">
        <f ca="1">'Profit &amp; Loss Account'!F79</f>
        <v>156329258.75988516</v>
      </c>
      <c r="H208" s="313">
        <f ca="1">'Profit &amp; Loss Account'!G79</f>
        <v>203785427.76770186</v>
      </c>
    </row>
    <row r="226" spans="2:8" x14ac:dyDescent="0.2">
      <c r="B226" s="5" t="s">
        <v>276</v>
      </c>
    </row>
    <row r="227" spans="2:8" x14ac:dyDescent="0.2">
      <c r="C227">
        <v>2021</v>
      </c>
      <c r="D227">
        <f>C227+1</f>
        <v>2022</v>
      </c>
      <c r="E227">
        <f>D227+1</f>
        <v>2023</v>
      </c>
      <c r="F227">
        <f>E227+1</f>
        <v>2024</v>
      </c>
      <c r="G227">
        <f>F227+1</f>
        <v>2025</v>
      </c>
      <c r="H227">
        <f>G227+1</f>
        <v>2026</v>
      </c>
    </row>
    <row r="228" spans="2:8" x14ac:dyDescent="0.2">
      <c r="B228" s="5" t="s">
        <v>17</v>
      </c>
      <c r="C228" s="313">
        <f ca="1">'Profit &amp; Loss Account'!B56</f>
        <v>-553168.20259234274</v>
      </c>
      <c r="D228" s="313">
        <f ca="1">'Profit &amp; Loss Account'!C56</f>
        <v>6446553.1134920837</v>
      </c>
      <c r="E228" s="313">
        <f ca="1">'Profit &amp; Loss Account'!D56</f>
        <v>57041418.983588234</v>
      </c>
      <c r="F228" s="313">
        <f ca="1">'Profit &amp; Loss Account'!E56</f>
        <v>130186146.44384822</v>
      </c>
      <c r="G228" s="313">
        <f ca="1">'Profit &amp; Loss Account'!F56</f>
        <v>199364999.77898189</v>
      </c>
      <c r="H228" s="313">
        <f ca="1">'Profit &amp; Loss Account'!G56</f>
        <v>267877839.06157327</v>
      </c>
    </row>
    <row r="229" spans="2:8" x14ac:dyDescent="0.2">
      <c r="B229" s="5" t="s">
        <v>146</v>
      </c>
      <c r="C229" s="313">
        <f ca="1">'Profit &amp; Loss Account'!B73</f>
        <v>-613063.63926940633</v>
      </c>
      <c r="D229" s="313">
        <f ca="1">'Profit &amp; Loss Account'!C73</f>
        <v>6106333.7469700165</v>
      </c>
      <c r="E229" s="313">
        <f ca="1">'Profit &amp; Loss Account'!D73</f>
        <v>52182134.564156331</v>
      </c>
      <c r="F229" s="313">
        <f ca="1">'Profit &amp; Loss Account'!E73</f>
        <v>123765954.96349953</v>
      </c>
      <c r="G229" s="313">
        <f ca="1">'Profit &amp; Loss Account'!F73</f>
        <v>191542275.23814866</v>
      </c>
      <c r="H229" s="313">
        <f ca="1">'Profit &amp; Loss Account'!G73</f>
        <v>258393989.00987837</v>
      </c>
    </row>
    <row r="246" spans="2:8" x14ac:dyDescent="0.2">
      <c r="B246" s="5" t="s">
        <v>277</v>
      </c>
    </row>
    <row r="247" spans="2:8" x14ac:dyDescent="0.2">
      <c r="C247">
        <v>2021</v>
      </c>
      <c r="D247">
        <f>C247+1</f>
        <v>2022</v>
      </c>
      <c r="E247">
        <f>D247+1</f>
        <v>2023</v>
      </c>
      <c r="F247">
        <f>E247+1</f>
        <v>2024</v>
      </c>
      <c r="G247">
        <f>F247+1</f>
        <v>2025</v>
      </c>
      <c r="H247">
        <f>G247+1</f>
        <v>2026</v>
      </c>
    </row>
    <row r="248" spans="2:8" x14ac:dyDescent="0.2">
      <c r="B248" s="5" t="s">
        <v>278</v>
      </c>
      <c r="C248" s="313">
        <f ca="1">'Balance Sheet'!C49</f>
        <v>751936.36073059367</v>
      </c>
      <c r="D248" s="313">
        <f ca="1">'Balance Sheet'!D49</f>
        <v>7029894.0539745828</v>
      </c>
      <c r="E248" s="313">
        <f ca="1">'Balance Sheet'!E49</f>
        <v>57423082.248591125</v>
      </c>
      <c r="F248" s="313">
        <f ca="1">'Balance Sheet'!F49</f>
        <v>156224917.234974</v>
      </c>
      <c r="G248" s="313">
        <f ca="1">'Balance Sheet'!G49</f>
        <v>289968671.84619063</v>
      </c>
      <c r="H248" s="313">
        <f ca="1">'Balance Sheet'!H49</f>
        <v>479519463.7735188</v>
      </c>
    </row>
    <row r="249" spans="2:8" x14ac:dyDescent="0.2">
      <c r="B249" s="5" t="s">
        <v>279</v>
      </c>
      <c r="C249" s="313">
        <f ca="1">'Balance Sheet'!C59</f>
        <v>433700.25068502582</v>
      </c>
      <c r="D249" s="313">
        <f ca="1">-'Balance Sheet'!D59</f>
        <v>2185126.6983801601</v>
      </c>
      <c r="E249" s="313">
        <f ca="1">'Balance Sheet'!E59</f>
        <v>13036877.419070303</v>
      </c>
      <c r="F249" s="313">
        <f ca="1">-'Balance Sheet'!F59</f>
        <v>10481190.012146205</v>
      </c>
      <c r="G249" s="313">
        <f ca="1">-'Balance Sheet'!G59</f>
        <v>18226808.673410714</v>
      </c>
      <c r="H249" s="313">
        <f ca="1">-'Balance Sheet'!H59</f>
        <v>24855770.256194353</v>
      </c>
    </row>
    <row r="265" spans="2:8" x14ac:dyDescent="0.2">
      <c r="B265" s="5" t="s">
        <v>280</v>
      </c>
    </row>
    <row r="266" spans="2:8" x14ac:dyDescent="0.2">
      <c r="C266">
        <v>2021</v>
      </c>
      <c r="D266">
        <f>C266+1</f>
        <v>2022</v>
      </c>
      <c r="E266">
        <f>D266+1</f>
        <v>2023</v>
      </c>
      <c r="F266">
        <f>E266+1</f>
        <v>2024</v>
      </c>
      <c r="G266">
        <f>F266+1</f>
        <v>2025</v>
      </c>
      <c r="H266">
        <f>G266+1</f>
        <v>2026</v>
      </c>
    </row>
    <row r="267" spans="2:8" x14ac:dyDescent="0.2">
      <c r="B267" s="5" t="s">
        <v>281</v>
      </c>
      <c r="C267" s="313">
        <f>'Balance Sheet'!C27</f>
        <v>-52055.031819652671</v>
      </c>
      <c r="D267" s="313">
        <f>'Balance Sheet'!D27</f>
        <v>812154.85537861043</v>
      </c>
      <c r="E267" s="313">
        <f>'Balance Sheet'!E27</f>
        <v>5939300.4604520183</v>
      </c>
      <c r="F267" s="313">
        <f>'Balance Sheet'!F27</f>
        <v>14572186.071195066</v>
      </c>
      <c r="G267" s="313">
        <f>'Balance Sheet'!G27</f>
        <v>22577336.137448266</v>
      </c>
      <c r="H267" s="313">
        <f>'Balance Sheet'!H27</f>
        <v>32057459.482271403</v>
      </c>
    </row>
    <row r="268" spans="2:8" x14ac:dyDescent="0.2">
      <c r="B268" s="5" t="s">
        <v>282</v>
      </c>
      <c r="C268" s="313">
        <f>'Balance Sheet'!C20</f>
        <v>205893.33333333331</v>
      </c>
      <c r="D268" s="313">
        <f>'Balance Sheet'!D20</f>
        <v>623407.84091125918</v>
      </c>
      <c r="E268" s="313">
        <f ca="1">'Balance Sheet'!E20</f>
        <v>27564868.91173251</v>
      </c>
      <c r="F268" s="313">
        <f ca="1">'Balance Sheet'!F20</f>
        <v>29155546.708635919</v>
      </c>
      <c r="G268" s="313">
        <f ca="1">'Balance Sheet'!G20</f>
        <v>33436475.516891871</v>
      </c>
      <c r="H268" s="313">
        <f ca="1">'Balance Sheet'!H20</f>
        <v>40682333.55950439</v>
      </c>
    </row>
    <row r="287" spans="2:8" x14ac:dyDescent="0.2">
      <c r="B287" s="5" t="s">
        <v>283</v>
      </c>
    </row>
    <row r="288" spans="2:8" x14ac:dyDescent="0.2">
      <c r="C288">
        <v>2021</v>
      </c>
      <c r="D288">
        <f>C288+1</f>
        <v>2022</v>
      </c>
      <c r="E288">
        <f>D288+1</f>
        <v>2023</v>
      </c>
      <c r="F288">
        <f>E288+1</f>
        <v>2024</v>
      </c>
      <c r="G288">
        <f>F288+1</f>
        <v>2025</v>
      </c>
      <c r="H288">
        <f>G288+1</f>
        <v>2026</v>
      </c>
    </row>
    <row r="289" spans="2:8" x14ac:dyDescent="0.2">
      <c r="B289" s="5" t="s">
        <v>284</v>
      </c>
      <c r="C289" s="314">
        <f>'Balance Sheet'!C52</f>
        <v>0</v>
      </c>
      <c r="D289" s="314">
        <f>'Balance Sheet'!D52</f>
        <v>0</v>
      </c>
      <c r="E289" s="314">
        <f>'Balance Sheet'!E52</f>
        <v>0</v>
      </c>
      <c r="F289" s="314">
        <f>'Balance Sheet'!F52</f>
        <v>0</v>
      </c>
      <c r="G289" s="314">
        <f>'Balance Sheet'!G52</f>
        <v>0</v>
      </c>
      <c r="H289" s="314">
        <f>'Balance Sheet'!H52</f>
        <v>0</v>
      </c>
    </row>
    <row r="290" spans="2:8" x14ac:dyDescent="0.2">
      <c r="B290" s="5" t="s">
        <v>278</v>
      </c>
      <c r="C290" s="313">
        <f ca="1">'Balance Sheet'!C49</f>
        <v>751936.36073059367</v>
      </c>
      <c r="D290" s="313">
        <f ca="1">'Balance Sheet'!D49</f>
        <v>7029894.0539745828</v>
      </c>
      <c r="E290" s="313">
        <f ca="1">'Balance Sheet'!E49</f>
        <v>57423082.248591125</v>
      </c>
      <c r="F290" s="313">
        <f ca="1">'Balance Sheet'!F49</f>
        <v>156224917.234974</v>
      </c>
      <c r="G290" s="313">
        <f ca="1">'Balance Sheet'!G49</f>
        <v>289968671.84619063</v>
      </c>
      <c r="H290" s="313">
        <f ca="1">'Balance Sheet'!H49</f>
        <v>479519463.7735188</v>
      </c>
    </row>
    <row r="294" spans="2:8" x14ac:dyDescent="0.2">
      <c r="C294">
        <v>2021</v>
      </c>
      <c r="D294">
        <v>2022</v>
      </c>
      <c r="E294">
        <v>2023</v>
      </c>
      <c r="F294">
        <v>2024</v>
      </c>
      <c r="G294">
        <v>2025</v>
      </c>
      <c r="H294">
        <v>2026</v>
      </c>
    </row>
    <row r="295" spans="2:8" x14ac:dyDescent="0.2">
      <c r="B295" t="s">
        <v>288</v>
      </c>
      <c r="C295" s="314">
        <v>0</v>
      </c>
      <c r="D295" s="314">
        <v>0</v>
      </c>
      <c r="E295" s="314">
        <v>0</v>
      </c>
      <c r="F295" s="314">
        <v>0</v>
      </c>
      <c r="G295" s="314">
        <v>0</v>
      </c>
      <c r="H295" s="314">
        <v>0</v>
      </c>
    </row>
    <row r="296" spans="2:8" x14ac:dyDescent="0.2">
      <c r="B296" t="s">
        <v>278</v>
      </c>
      <c r="C296" s="314">
        <v>751936.36073059367</v>
      </c>
      <c r="D296" s="314">
        <v>7029894.0539745828</v>
      </c>
      <c r="E296" s="314">
        <v>57423082.248598799</v>
      </c>
      <c r="F296" s="314">
        <v>156224917.23499188</v>
      </c>
      <c r="G296" s="314">
        <v>289968671.84620339</v>
      </c>
      <c r="H296" s="314">
        <v>479519463.77352351</v>
      </c>
    </row>
    <row r="308" spans="2:8" x14ac:dyDescent="0.2">
      <c r="B308" s="5" t="s">
        <v>285</v>
      </c>
    </row>
    <row r="309" spans="2:8" x14ac:dyDescent="0.2">
      <c r="C309">
        <v>2021</v>
      </c>
      <c r="D309">
        <f>C309+1</f>
        <v>2022</v>
      </c>
      <c r="E309">
        <f>D309+1</f>
        <v>2023</v>
      </c>
      <c r="F309">
        <f>E309+1</f>
        <v>2024</v>
      </c>
      <c r="G309">
        <f>F309+1</f>
        <v>2025</v>
      </c>
      <c r="H309">
        <f>G309+1</f>
        <v>2026</v>
      </c>
    </row>
    <row r="310" spans="2:8" x14ac:dyDescent="0.2">
      <c r="B310" s="5" t="s">
        <v>286</v>
      </c>
      <c r="C310" s="313">
        <f ca="1">'Balance Sheet'!C23-'Balance Sheet'!C53</f>
        <v>380238.84977159527</v>
      </c>
      <c r="D310" s="313">
        <f ca="1">'Balance Sheet'!D23-'Balance Sheet'!D53</f>
        <v>10806206.480362972</v>
      </c>
      <c r="E310" s="313">
        <f ca="1">'Balance Sheet'!E23-'Balance Sheet'!E53</f>
        <v>52685262.923757322</v>
      </c>
      <c r="F310" s="313">
        <f ca="1">'Balance Sheet'!F23-'Balance Sheet'!F53</f>
        <v>185659317.0328106</v>
      </c>
      <c r="G310" s="313">
        <f ca="1">'Balance Sheet'!G23-'Balance Sheet'!G53</f>
        <v>336837903.38165259</v>
      </c>
      <c r="H310" s="313">
        <f ca="1">'Balance Sheet'!H23-'Balance Sheet'!H53</f>
        <v>543888016.91537189</v>
      </c>
    </row>
    <row r="311" spans="2:8" x14ac:dyDescent="0.2">
      <c r="B311" s="5" t="s">
        <v>287</v>
      </c>
      <c r="C311" s="313">
        <f ca="1">'Balance Sheet'!C24+'Balance Sheet'!C36</f>
        <v>165804.17762566515</v>
      </c>
      <c r="D311" s="313">
        <f ca="1">-'Balance Sheet'!D24-'Balance Sheet'!D36</f>
        <v>4399720.2672996493</v>
      </c>
      <c r="E311" s="313">
        <f ca="1">-'Balance Sheet'!E24-'Balance Sheet'!E36</f>
        <v>22827049.586898714</v>
      </c>
      <c r="F311" s="313">
        <f ca="1">-'Balance Sheet'!F24-'Balance Sheet'!F36</f>
        <v>58589946.50647255</v>
      </c>
      <c r="G311" s="313">
        <f ca="1">-'Balance Sheet'!G24-'Balance Sheet'!G36</f>
        <v>80305707.052353874</v>
      </c>
      <c r="H311" s="313">
        <f ca="1">-'Balance Sheet'!H24-'Balance Sheet'!H36</f>
        <v>105050886.7013576</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AJ84"/>
  <sheetViews>
    <sheetView showGridLines="0" tabSelected="1" topLeftCell="A2" zoomScaleNormal="100" workbookViewId="0">
      <selection activeCell="G80" sqref="A12:G80"/>
    </sheetView>
  </sheetViews>
  <sheetFormatPr defaultRowHeight="11.4" outlineLevelCol="1" x14ac:dyDescent="0.2"/>
  <cols>
    <col min="1" max="1" width="41.375" customWidth="1"/>
    <col min="2" max="7" width="15.75" customWidth="1"/>
    <col min="8" max="14" width="9.125" hidden="1" customWidth="1" outlineLevel="1"/>
    <col min="15" max="15" width="9" collapsed="1"/>
  </cols>
  <sheetData>
    <row r="1" spans="1:36" ht="13.8" customHeight="1" x14ac:dyDescent="0.25">
      <c r="A1" s="27"/>
      <c r="B1" s="36"/>
      <c r="C1" s="36"/>
      <c r="D1" s="36"/>
      <c r="E1" s="36"/>
      <c r="F1" s="36"/>
      <c r="G1" s="36"/>
      <c r="H1" s="36"/>
      <c r="I1" s="36"/>
      <c r="J1" s="36"/>
      <c r="K1" s="36"/>
      <c r="L1" s="36"/>
      <c r="M1" s="36"/>
      <c r="N1" s="36"/>
      <c r="O1" s="1"/>
      <c r="P1" s="1"/>
      <c r="Q1" s="1"/>
      <c r="R1" s="1"/>
      <c r="S1" s="1"/>
      <c r="T1" s="1"/>
      <c r="U1" s="1"/>
      <c r="V1" s="1"/>
      <c r="W1" s="1"/>
      <c r="X1" s="1"/>
      <c r="Y1" s="1"/>
      <c r="Z1" s="1"/>
      <c r="AA1" s="1"/>
      <c r="AB1" s="1"/>
      <c r="AC1" s="1"/>
      <c r="AD1" s="1"/>
      <c r="AE1" s="1"/>
      <c r="AF1" s="1"/>
      <c r="AG1" s="1"/>
      <c r="AH1" s="1"/>
      <c r="AI1" s="1"/>
      <c r="AJ1" s="1"/>
    </row>
    <row r="2" spans="1:36" ht="13.8" customHeight="1" x14ac:dyDescent="0.3">
      <c r="A2" s="28" t="s">
        <v>179</v>
      </c>
      <c r="B2" s="37">
        <v>2021</v>
      </c>
      <c r="C2" s="37">
        <f t="shared" ref="C2:N2" si="0">+B2+1</f>
        <v>2022</v>
      </c>
      <c r="D2" s="37">
        <f t="shared" si="0"/>
        <v>2023</v>
      </c>
      <c r="E2" s="37">
        <f t="shared" si="0"/>
        <v>2024</v>
      </c>
      <c r="F2" s="37">
        <f t="shared" si="0"/>
        <v>2025</v>
      </c>
      <c r="G2" s="37">
        <f t="shared" si="0"/>
        <v>2026</v>
      </c>
      <c r="H2" s="37">
        <f t="shared" si="0"/>
        <v>2027</v>
      </c>
      <c r="I2" s="37">
        <f t="shared" si="0"/>
        <v>2028</v>
      </c>
      <c r="J2" s="37">
        <f t="shared" si="0"/>
        <v>2029</v>
      </c>
      <c r="K2" s="37">
        <f t="shared" si="0"/>
        <v>2030</v>
      </c>
      <c r="L2" s="37">
        <f t="shared" si="0"/>
        <v>2031</v>
      </c>
      <c r="M2" s="37">
        <f t="shared" si="0"/>
        <v>2032</v>
      </c>
      <c r="N2" s="37">
        <f t="shared" si="0"/>
        <v>2033</v>
      </c>
      <c r="O2" s="11"/>
      <c r="P2" s="11"/>
      <c r="Q2" s="11"/>
      <c r="R2" s="11"/>
      <c r="S2" s="11"/>
      <c r="T2" s="11"/>
      <c r="U2" s="11"/>
      <c r="V2" s="9"/>
      <c r="W2" s="9"/>
      <c r="X2" s="9"/>
      <c r="Y2" s="9"/>
      <c r="Z2" s="265"/>
      <c r="AA2" s="9"/>
      <c r="AB2" s="9"/>
      <c r="AC2" s="9"/>
      <c r="AD2" s="9"/>
      <c r="AE2" s="9"/>
      <c r="AF2" s="9"/>
      <c r="AG2" s="9"/>
      <c r="AH2" s="9"/>
      <c r="AI2" s="9"/>
      <c r="AJ2" s="9"/>
    </row>
    <row r="3" spans="1:36" ht="13.8" customHeight="1" x14ac:dyDescent="0.2">
      <c r="A3" s="29" t="str">
        <f>+A2</f>
        <v>Profit &amp; Loss Account</v>
      </c>
      <c r="B3" s="38"/>
      <c r="C3" s="38"/>
      <c r="D3" s="38"/>
      <c r="E3" s="38"/>
      <c r="F3" s="38"/>
      <c r="G3" s="38"/>
      <c r="H3" s="38" t="s">
        <v>27</v>
      </c>
      <c r="I3" s="38" t="s">
        <v>27</v>
      </c>
      <c r="J3" s="38" t="s">
        <v>27</v>
      </c>
      <c r="K3" s="38" t="s">
        <v>27</v>
      </c>
      <c r="L3" s="38" t="s">
        <v>27</v>
      </c>
      <c r="M3" s="38" t="s">
        <v>27</v>
      </c>
      <c r="N3" s="38" t="s">
        <v>27</v>
      </c>
      <c r="O3" s="7"/>
      <c r="P3" s="7"/>
      <c r="Q3" s="7"/>
      <c r="R3" s="7"/>
      <c r="S3" s="7"/>
      <c r="T3" s="7"/>
      <c r="U3" s="7"/>
      <c r="V3" s="9"/>
      <c r="W3" s="9"/>
      <c r="X3" s="9"/>
      <c r="Y3" s="9"/>
      <c r="Z3" s="9"/>
      <c r="AA3" s="9"/>
      <c r="AB3" s="9"/>
      <c r="AC3" s="9"/>
      <c r="AD3" s="9"/>
      <c r="AE3" s="9"/>
      <c r="AF3" s="9"/>
      <c r="AG3" s="9"/>
      <c r="AH3" s="9"/>
      <c r="AI3" s="9"/>
      <c r="AJ3" s="9"/>
    </row>
    <row r="4" spans="1:36" ht="13.8" customHeight="1" x14ac:dyDescent="0.2">
      <c r="A4" s="30"/>
      <c r="B4" s="38"/>
      <c r="C4" s="38"/>
      <c r="D4" s="38"/>
      <c r="E4" s="38"/>
      <c r="F4" s="38"/>
      <c r="G4" s="38"/>
      <c r="H4" s="38" t="s">
        <v>28</v>
      </c>
      <c r="I4" s="38" t="s">
        <v>28</v>
      </c>
      <c r="J4" s="38" t="s">
        <v>28</v>
      </c>
      <c r="K4" s="38" t="s">
        <v>28</v>
      </c>
      <c r="L4" s="38" t="s">
        <v>28</v>
      </c>
      <c r="M4" s="38" t="s">
        <v>28</v>
      </c>
      <c r="N4" s="38" t="s">
        <v>28</v>
      </c>
      <c r="O4" s="7"/>
      <c r="P4" s="7"/>
      <c r="Q4" s="7"/>
      <c r="R4" s="7"/>
      <c r="S4" s="7"/>
      <c r="T4" s="7"/>
      <c r="U4" s="7"/>
    </row>
    <row r="5" spans="1:36" ht="13.8" customHeight="1" x14ac:dyDescent="0.2">
      <c r="A5" s="31"/>
      <c r="B5" s="39"/>
      <c r="C5" s="39"/>
      <c r="D5" s="39"/>
      <c r="E5" s="39"/>
      <c r="F5" s="39"/>
      <c r="G5" s="39"/>
      <c r="H5" s="39"/>
      <c r="I5" s="39"/>
      <c r="J5" s="39"/>
      <c r="K5" s="39"/>
      <c r="L5" s="39"/>
      <c r="M5" s="39"/>
      <c r="N5" s="39"/>
      <c r="O5" s="10"/>
      <c r="P5" s="10"/>
      <c r="Q5" s="10"/>
      <c r="R5" s="10"/>
      <c r="S5" s="10"/>
      <c r="T5" s="10"/>
      <c r="U5" s="10"/>
    </row>
    <row r="6" spans="1:36" ht="13.8" customHeight="1" x14ac:dyDescent="0.2">
      <c r="A6" s="32" t="s">
        <v>382</v>
      </c>
      <c r="B6" s="39"/>
      <c r="C6" s="39"/>
      <c r="D6" s="39"/>
      <c r="E6" s="39"/>
      <c r="F6" s="39"/>
      <c r="G6" s="39"/>
      <c r="H6" s="39"/>
      <c r="I6" s="39"/>
      <c r="J6" s="39"/>
      <c r="K6" s="39"/>
      <c r="L6" s="39"/>
      <c r="M6" s="39"/>
      <c r="N6" s="39"/>
      <c r="O6" s="10"/>
      <c r="P6" s="10"/>
      <c r="Q6" s="10"/>
      <c r="R6" s="10"/>
      <c r="S6" s="10"/>
      <c r="T6" s="10"/>
      <c r="U6" s="10"/>
      <c r="V6" s="9"/>
      <c r="W6" s="9"/>
      <c r="X6" s="9"/>
      <c r="Y6" s="9"/>
      <c r="Z6" s="9"/>
      <c r="AA6" s="9"/>
      <c r="AB6" s="9"/>
      <c r="AC6" s="9"/>
      <c r="AD6" s="9"/>
      <c r="AE6" s="9"/>
      <c r="AF6" s="9"/>
      <c r="AG6" s="9"/>
      <c r="AH6" s="9"/>
      <c r="AI6" s="9"/>
      <c r="AJ6" s="9"/>
    </row>
    <row r="7" spans="1:36" ht="13.8" customHeight="1" x14ac:dyDescent="0.2">
      <c r="A7" s="32" t="s">
        <v>381</v>
      </c>
      <c r="B7" s="38"/>
      <c r="C7" s="38"/>
      <c r="D7" s="38"/>
      <c r="E7" s="38"/>
      <c r="F7" s="38"/>
      <c r="G7" s="38"/>
      <c r="H7" s="38"/>
      <c r="I7" s="38"/>
      <c r="J7" s="38"/>
      <c r="K7" s="38"/>
      <c r="L7" s="38"/>
      <c r="M7" s="38"/>
      <c r="N7" s="38"/>
      <c r="O7" s="7"/>
      <c r="P7" s="7"/>
      <c r="Q7" s="7"/>
      <c r="R7" s="7"/>
      <c r="S7" s="7"/>
      <c r="T7" s="7"/>
      <c r="U7" s="7"/>
      <c r="V7" s="9"/>
      <c r="W7" s="9"/>
      <c r="X7" s="9"/>
      <c r="Y7" s="9"/>
      <c r="Z7" s="9"/>
      <c r="AA7" s="9"/>
      <c r="AB7" s="9"/>
      <c r="AC7" s="9"/>
      <c r="AD7" s="9"/>
      <c r="AE7" s="9"/>
      <c r="AF7" s="9"/>
      <c r="AG7" s="9"/>
      <c r="AH7" s="9"/>
      <c r="AI7" s="9"/>
      <c r="AJ7" s="9"/>
    </row>
    <row r="8" spans="1:36" ht="13.8" customHeight="1" x14ac:dyDescent="0.2">
      <c r="B8" s="38"/>
      <c r="C8" s="38"/>
      <c r="D8" s="38"/>
      <c r="E8" s="38"/>
      <c r="F8" s="38"/>
      <c r="G8" s="38"/>
      <c r="H8" s="38"/>
      <c r="I8" s="38"/>
      <c r="J8" s="38"/>
      <c r="K8" s="38"/>
      <c r="L8" s="38"/>
      <c r="M8" s="38"/>
      <c r="N8" s="38"/>
      <c r="O8" s="7"/>
      <c r="P8" s="7"/>
      <c r="Q8" s="7"/>
      <c r="R8" s="7"/>
      <c r="S8" s="240"/>
      <c r="T8" s="7"/>
      <c r="U8" s="7"/>
      <c r="V8" s="9"/>
      <c r="W8" s="9"/>
      <c r="X8" s="9"/>
      <c r="Y8" s="9"/>
      <c r="Z8" s="9"/>
      <c r="AA8" s="9"/>
      <c r="AB8" s="9"/>
      <c r="AC8" s="9"/>
      <c r="AD8" s="9"/>
      <c r="AE8" s="9"/>
      <c r="AF8" s="9"/>
      <c r="AG8" s="9"/>
      <c r="AH8" s="9"/>
      <c r="AI8" s="9"/>
      <c r="AJ8" s="9"/>
    </row>
    <row r="9" spans="1:36" ht="13.8" customHeight="1" x14ac:dyDescent="0.2">
      <c r="B9" s="38"/>
      <c r="C9" s="38"/>
      <c r="D9" s="38"/>
      <c r="E9" s="38"/>
      <c r="F9" s="38"/>
      <c r="G9" s="38"/>
      <c r="H9" s="38"/>
      <c r="I9" s="38"/>
      <c r="J9" s="38"/>
      <c r="K9" s="38"/>
      <c r="L9" s="38"/>
      <c r="M9" s="38"/>
      <c r="N9" s="38"/>
      <c r="O9" s="7"/>
      <c r="P9" s="7"/>
      <c r="Q9" s="7"/>
      <c r="R9" s="7"/>
      <c r="S9" s="7"/>
      <c r="T9" s="7"/>
      <c r="U9" s="7"/>
    </row>
    <row r="10" spans="1:36" ht="13.8" customHeight="1" x14ac:dyDescent="0.2">
      <c r="B10" s="40"/>
      <c r="C10" s="40"/>
      <c r="D10" s="40"/>
      <c r="E10" s="40"/>
      <c r="F10" s="40"/>
      <c r="G10" s="40"/>
      <c r="H10" s="40"/>
      <c r="I10" s="40"/>
      <c r="J10" s="40"/>
      <c r="K10" s="40"/>
      <c r="L10" s="40"/>
      <c r="M10" s="40"/>
      <c r="N10" s="40"/>
    </row>
    <row r="11" spans="1:36" ht="13.8" customHeight="1" x14ac:dyDescent="0.2">
      <c r="B11" s="41"/>
      <c r="C11" s="41"/>
      <c r="D11" s="41"/>
      <c r="E11" s="41"/>
      <c r="F11" s="41"/>
      <c r="G11" s="41"/>
      <c r="H11" s="41"/>
      <c r="I11" s="41"/>
      <c r="J11" s="41"/>
      <c r="K11" s="41"/>
      <c r="L11" s="41"/>
      <c r="M11" s="41"/>
      <c r="N11" s="41"/>
      <c r="O11" s="5"/>
      <c r="P11" s="5"/>
      <c r="Q11" s="5"/>
      <c r="R11" s="5"/>
      <c r="S11" s="5"/>
      <c r="T11" s="5"/>
      <c r="U11" s="5"/>
      <c r="V11" s="5"/>
      <c r="W11" s="5"/>
      <c r="X11" s="5"/>
      <c r="Y11" s="5"/>
      <c r="Z11" s="5"/>
      <c r="AA11" s="5"/>
      <c r="AB11" s="5"/>
      <c r="AC11" s="5"/>
      <c r="AD11" s="5"/>
      <c r="AE11" s="5"/>
      <c r="AF11" s="5"/>
      <c r="AG11" s="5"/>
      <c r="AH11" s="5"/>
      <c r="AI11" s="5"/>
      <c r="AJ11" s="5"/>
    </row>
    <row r="12" spans="1:36" ht="13.8" customHeight="1" x14ac:dyDescent="0.25">
      <c r="A12" s="266" t="s">
        <v>340</v>
      </c>
      <c r="B12" s="266">
        <f>B2</f>
        <v>2021</v>
      </c>
      <c r="C12" s="266">
        <f t="shared" ref="C12:N12" si="1">C2</f>
        <v>2022</v>
      </c>
      <c r="D12" s="266">
        <f t="shared" si="1"/>
        <v>2023</v>
      </c>
      <c r="E12" s="266">
        <f t="shared" si="1"/>
        <v>2024</v>
      </c>
      <c r="F12" s="266">
        <f t="shared" si="1"/>
        <v>2025</v>
      </c>
      <c r="G12" s="266">
        <f t="shared" si="1"/>
        <v>2026</v>
      </c>
      <c r="H12" s="266">
        <f t="shared" si="1"/>
        <v>2027</v>
      </c>
      <c r="I12" s="266">
        <f t="shared" si="1"/>
        <v>2028</v>
      </c>
      <c r="J12" s="266">
        <f t="shared" si="1"/>
        <v>2029</v>
      </c>
      <c r="K12" s="266">
        <f t="shared" si="1"/>
        <v>2030</v>
      </c>
      <c r="L12" s="266">
        <f t="shared" si="1"/>
        <v>2031</v>
      </c>
      <c r="M12" s="266">
        <f t="shared" si="1"/>
        <v>2032</v>
      </c>
      <c r="N12" s="266">
        <f t="shared" si="1"/>
        <v>2033</v>
      </c>
    </row>
    <row r="13" spans="1:36" s="245" customFormat="1" ht="13.8" customHeight="1" x14ac:dyDescent="0.25">
      <c r="A13" s="285"/>
      <c r="B13" s="282"/>
      <c r="C13" s="282"/>
      <c r="D13" s="282"/>
      <c r="E13" s="282"/>
      <c r="F13" s="282"/>
      <c r="G13" s="282"/>
      <c r="H13" s="246"/>
      <c r="I13" s="244"/>
      <c r="J13" s="243"/>
      <c r="K13" s="244"/>
      <c r="L13" s="244"/>
      <c r="M13" s="244"/>
      <c r="N13" s="243"/>
    </row>
    <row r="14" spans="1:36" ht="1.8" customHeight="1" x14ac:dyDescent="0.25">
      <c r="A14" s="286"/>
      <c r="B14" s="283"/>
      <c r="C14" s="283"/>
      <c r="D14" s="283"/>
      <c r="E14" s="283"/>
      <c r="F14" s="283"/>
      <c r="G14" s="283"/>
      <c r="H14" s="247"/>
      <c r="I14" s="242"/>
      <c r="J14" s="241"/>
      <c r="K14" s="242"/>
      <c r="L14" s="242"/>
      <c r="M14" s="242"/>
      <c r="N14" s="241"/>
    </row>
    <row r="15" spans="1:36" ht="13.8" customHeight="1" x14ac:dyDescent="0.25">
      <c r="A15" s="264" t="s">
        <v>341</v>
      </c>
      <c r="B15" s="283">
        <f t="shared" ref="B15:G15" si="2">SUM(B18:B20)</f>
        <v>618333.33333333349</v>
      </c>
      <c r="C15" s="283">
        <f t="shared" si="2"/>
        <v>15868382.260191355</v>
      </c>
      <c r="D15" s="283">
        <f t="shared" si="2"/>
        <v>82763830.721210986</v>
      </c>
      <c r="E15" s="283">
        <f t="shared" si="2"/>
        <v>189014250.59499994</v>
      </c>
      <c r="F15" s="283">
        <f t="shared" si="2"/>
        <v>285641648.76089346</v>
      </c>
      <c r="G15" s="283">
        <f t="shared" si="2"/>
        <v>394048244.62473941</v>
      </c>
      <c r="H15" s="250">
        <f>'Computations 2'!L15</f>
        <v>0</v>
      </c>
      <c r="I15" s="42">
        <f>'Computations 2'!M15</f>
        <v>0</v>
      </c>
      <c r="J15" s="44">
        <f>'Computations 2'!N15</f>
        <v>0</v>
      </c>
      <c r="K15" s="42">
        <f>'Computations 2'!O15</f>
        <v>0</v>
      </c>
      <c r="L15" s="42">
        <f>'Computations 2'!P15</f>
        <v>0</v>
      </c>
      <c r="M15" s="42">
        <f>'Computations 2'!Q15</f>
        <v>0</v>
      </c>
      <c r="N15" s="44">
        <f>'Computations 2'!R15</f>
        <v>0</v>
      </c>
      <c r="Z15" s="14"/>
    </row>
    <row r="16" spans="1:36" s="245" customFormat="1" ht="1.8" customHeight="1" x14ac:dyDescent="0.25">
      <c r="A16" s="285"/>
      <c r="B16" s="282"/>
      <c r="C16" s="282"/>
      <c r="D16" s="282"/>
      <c r="E16" s="282"/>
      <c r="F16" s="282"/>
      <c r="G16" s="282"/>
      <c r="H16" s="246"/>
      <c r="I16" s="244"/>
      <c r="J16" s="243"/>
      <c r="K16" s="244"/>
      <c r="L16" s="244"/>
      <c r="M16" s="244"/>
      <c r="N16" s="243"/>
    </row>
    <row r="17" spans="1:27" ht="1.8" customHeight="1" x14ac:dyDescent="0.25">
      <c r="A17" s="286"/>
      <c r="B17" s="283"/>
      <c r="C17" s="283"/>
      <c r="D17" s="283"/>
      <c r="E17" s="283"/>
      <c r="F17" s="283"/>
      <c r="G17" s="283"/>
      <c r="H17" s="247"/>
      <c r="I17" s="242"/>
      <c r="J17" s="241"/>
      <c r="K17" s="242"/>
      <c r="L17" s="242"/>
      <c r="M17" s="242"/>
      <c r="N17" s="241"/>
    </row>
    <row r="18" spans="1:27" ht="13.8" customHeight="1" x14ac:dyDescent="0.2">
      <c r="A18" s="239" t="s">
        <v>342</v>
      </c>
      <c r="B18" s="301">
        <f>'1.Revenues and Costs of Sales'!C12</f>
        <v>333333.33333333349</v>
      </c>
      <c r="C18" s="301">
        <f>'1.Revenues and Costs of Sales'!D12</f>
        <v>9067647.0058236327</v>
      </c>
      <c r="D18" s="301">
        <f>'1.Revenues and Costs of Sales'!E12</f>
        <v>47293617.554977715</v>
      </c>
      <c r="E18" s="301">
        <f>'1.Revenues and Costs of Sales'!F12</f>
        <v>108008143.19714284</v>
      </c>
      <c r="F18" s="301">
        <f>'1.Revenues and Costs of Sales'!G12</f>
        <v>163223799.29193917</v>
      </c>
      <c r="G18" s="301">
        <f>'1.Revenues and Costs of Sales'!H12</f>
        <v>225170425.49985108</v>
      </c>
      <c r="H18" s="251"/>
      <c r="I18" s="155"/>
      <c r="J18" s="155"/>
      <c r="K18" s="155"/>
      <c r="L18" s="155"/>
      <c r="M18" s="155"/>
      <c r="N18" s="155"/>
    </row>
    <row r="19" spans="1:27" ht="13.8" customHeight="1" x14ac:dyDescent="0.2">
      <c r="A19" s="239" t="s">
        <v>343</v>
      </c>
      <c r="B19" s="301">
        <f>'1.Revenues and Costs of Sales'!C22</f>
        <v>85000</v>
      </c>
      <c r="C19" s="301">
        <f>'1.Revenues and Costs of Sales'!D22</f>
        <v>1360147.0508735443</v>
      </c>
      <c r="D19" s="301">
        <f>'1.Revenues and Costs of Sales'!E22</f>
        <v>7094042.6332466556</v>
      </c>
      <c r="E19" s="301">
        <f>'1.Revenues and Costs of Sales'!F22</f>
        <v>16201221.479571419</v>
      </c>
      <c r="F19" s="301">
        <f>'1.Revenues and Costs of Sales'!G22</f>
        <v>24483569.893790863</v>
      </c>
      <c r="G19" s="301">
        <f>'1.Revenues and Costs of Sales'!H22</f>
        <v>33775563.824977651</v>
      </c>
      <c r="H19" s="252"/>
      <c r="I19" s="46"/>
      <c r="J19" s="46"/>
      <c r="K19" s="46"/>
      <c r="L19" s="46"/>
      <c r="M19" s="46"/>
      <c r="N19" s="46"/>
    </row>
    <row r="20" spans="1:27" ht="13.8" customHeight="1" x14ac:dyDescent="0.2">
      <c r="A20" s="239" t="s">
        <v>344</v>
      </c>
      <c r="B20" s="301">
        <f>'1.Revenues and Costs of Sales'!C32</f>
        <v>200000</v>
      </c>
      <c r="C20" s="301">
        <f>'1.Revenues and Costs of Sales'!D32</f>
        <v>5440588.2034941772</v>
      </c>
      <c r="D20" s="301">
        <f>'1.Revenues and Costs of Sales'!E32</f>
        <v>28376170.532986622</v>
      </c>
      <c r="E20" s="301">
        <f>'1.Revenues and Costs of Sales'!F32</f>
        <v>64804885.918285675</v>
      </c>
      <c r="F20" s="301">
        <f>'1.Revenues and Costs of Sales'!G32</f>
        <v>97934279.575163454</v>
      </c>
      <c r="G20" s="301">
        <f>'1.Revenues and Costs of Sales'!H32</f>
        <v>135102255.29991063</v>
      </c>
      <c r="H20" s="253">
        <f>'1.Revenues and Costs of Sales'!I32</f>
        <v>0</v>
      </c>
      <c r="I20" s="154">
        <f>'1.Revenues and Costs of Sales'!J32</f>
        <v>0</v>
      </c>
      <c r="J20" s="154" t="str">
        <f>'1.Revenues and Costs of Sales'!K32</f>
        <v>CAGR 2021-2026</v>
      </c>
      <c r="K20" s="154">
        <f>'1.Revenues and Costs of Sales'!L32</f>
        <v>0</v>
      </c>
      <c r="L20" s="154">
        <f>'1.Revenues and Costs of Sales'!M32</f>
        <v>0</v>
      </c>
      <c r="M20" s="154">
        <f>'1.Revenues and Costs of Sales'!N32</f>
        <v>0</v>
      </c>
      <c r="N20" s="154">
        <f>'1.Revenues and Costs of Sales'!O32</f>
        <v>0</v>
      </c>
    </row>
    <row r="21" spans="1:27" s="245" customFormat="1" ht="1.8" customHeight="1" x14ac:dyDescent="0.25">
      <c r="A21" s="285"/>
      <c r="B21" s="282"/>
      <c r="C21" s="282"/>
      <c r="D21" s="282"/>
      <c r="E21" s="282"/>
      <c r="F21" s="282"/>
      <c r="G21" s="282"/>
      <c r="H21" s="246"/>
      <c r="I21" s="244"/>
      <c r="J21" s="243"/>
      <c r="K21" s="244"/>
      <c r="L21" s="244"/>
      <c r="M21" s="244"/>
      <c r="N21" s="243"/>
    </row>
    <row r="22" spans="1:27" ht="1.8" customHeight="1" x14ac:dyDescent="0.25">
      <c r="A22" s="286"/>
      <c r="B22" s="283"/>
      <c r="C22" s="283"/>
      <c r="D22" s="283"/>
      <c r="E22" s="283"/>
      <c r="F22" s="283"/>
      <c r="G22" s="283"/>
      <c r="H22" s="247"/>
      <c r="I22" s="242"/>
      <c r="J22" s="241"/>
      <c r="K22" s="242"/>
      <c r="L22" s="242"/>
      <c r="M22" s="242"/>
      <c r="N22" s="241"/>
    </row>
    <row r="23" spans="1:27" s="19" customFormat="1" ht="13.8" customHeight="1" x14ac:dyDescent="0.25">
      <c r="A23" s="264" t="s">
        <v>345</v>
      </c>
      <c r="B23" s="302">
        <f>SUM(B26:B28)</f>
        <v>-1120000</v>
      </c>
      <c r="C23" s="302">
        <f t="shared" ref="C23:N23" si="3">SUM(C26:C28)</f>
        <v>-5547390.1888599508</v>
      </c>
      <c r="D23" s="302">
        <f t="shared" si="3"/>
        <v>-12379992.173639506</v>
      </c>
      <c r="E23" s="302">
        <f t="shared" si="3"/>
        <v>-18507849.300620124</v>
      </c>
      <c r="F23" s="302">
        <f t="shared" si="3"/>
        <v>-22633746.392283116</v>
      </c>
      <c r="G23" s="302">
        <f t="shared" si="3"/>
        <v>-25030972.351001002</v>
      </c>
      <c r="H23" s="255" t="e">
        <f t="shared" si="3"/>
        <v>#REF!</v>
      </c>
      <c r="I23" s="156" t="e">
        <f t="shared" si="3"/>
        <v>#REF!</v>
      </c>
      <c r="J23" s="156" t="e">
        <f t="shared" si="3"/>
        <v>#REF!</v>
      </c>
      <c r="K23" s="156" t="e">
        <f t="shared" si="3"/>
        <v>#REF!</v>
      </c>
      <c r="L23" s="156" t="e">
        <f t="shared" si="3"/>
        <v>#REF!</v>
      </c>
      <c r="M23" s="156" t="e">
        <f t="shared" si="3"/>
        <v>#REF!</v>
      </c>
      <c r="N23" s="156" t="e">
        <f t="shared" si="3"/>
        <v>#REF!</v>
      </c>
      <c r="Q23" s="157"/>
      <c r="R23" s="159"/>
      <c r="S23" s="160"/>
      <c r="T23" s="160"/>
      <c r="U23" s="160"/>
      <c r="V23"/>
    </row>
    <row r="24" spans="1:27" s="245" customFormat="1" ht="1.8" customHeight="1" x14ac:dyDescent="0.25">
      <c r="A24" s="285"/>
      <c r="B24" s="282"/>
      <c r="C24" s="282"/>
      <c r="D24" s="282"/>
      <c r="E24" s="282"/>
      <c r="F24" s="282"/>
      <c r="G24" s="282"/>
      <c r="H24" s="246"/>
      <c r="I24" s="244"/>
      <c r="J24" s="243"/>
      <c r="K24" s="244"/>
      <c r="L24" s="244"/>
      <c r="M24" s="244"/>
      <c r="N24" s="243"/>
    </row>
    <row r="25" spans="1:27" ht="1.8" customHeight="1" x14ac:dyDescent="0.25">
      <c r="A25" s="286"/>
      <c r="B25" s="283"/>
      <c r="C25" s="283"/>
      <c r="D25" s="283"/>
      <c r="E25" s="283"/>
      <c r="F25" s="283"/>
      <c r="G25" s="283"/>
      <c r="H25" s="247"/>
      <c r="I25" s="242"/>
      <c r="J25" s="241"/>
      <c r="K25" s="242"/>
      <c r="L25" s="242"/>
      <c r="M25" s="242"/>
      <c r="N25" s="241"/>
    </row>
    <row r="26" spans="1:27" ht="13.8" customHeight="1" x14ac:dyDescent="0.2">
      <c r="A26" s="239" t="s">
        <v>346</v>
      </c>
      <c r="B26" s="301">
        <f>-'Computations 1'!G19</f>
        <v>-100000</v>
      </c>
      <c r="C26" s="301">
        <f>-'Computations 1'!H19</f>
        <v>-618465.84384264913</v>
      </c>
      <c r="D26" s="301">
        <f>-'Computations 1'!I19</f>
        <v>-1538061.0692355921</v>
      </c>
      <c r="E26" s="301">
        <f>-'Computations 1'!J19</f>
        <v>-2425506.8727641525</v>
      </c>
      <c r="F26" s="301">
        <f>-'Computations 1'!K19</f>
        <v>-3045909.3532675728</v>
      </c>
      <c r="G26" s="301">
        <f>-'Computations 1'!L19</f>
        <v>-3413298.005778058</v>
      </c>
      <c r="H26" s="251">
        <f>-'Computations 1'!L19</f>
        <v>-3413298.005778058</v>
      </c>
      <c r="I26" s="155" t="e">
        <f>-'Computations 1'!#REF!</f>
        <v>#REF!</v>
      </c>
      <c r="J26" s="155" t="e">
        <f>-'Computations 1'!#REF!</f>
        <v>#REF!</v>
      </c>
      <c r="K26" s="155" t="e">
        <f>-'Computations 1'!#REF!</f>
        <v>#REF!</v>
      </c>
      <c r="L26" s="155" t="e">
        <f>-'Computations 1'!#REF!</f>
        <v>#REF!</v>
      </c>
      <c r="M26" s="155" t="e">
        <f>-'Computations 1'!#REF!</f>
        <v>#REF!</v>
      </c>
      <c r="N26" s="155" t="e">
        <f>-'Computations 1'!#REF!</f>
        <v>#REF!</v>
      </c>
    </row>
    <row r="27" spans="1:27" ht="13.8" customHeight="1" x14ac:dyDescent="0.2">
      <c r="A27" s="239" t="s">
        <v>347</v>
      </c>
      <c r="B27" s="301">
        <f>-'Computations 1'!G20</f>
        <v>-120000</v>
      </c>
      <c r="C27" s="301">
        <f>-'Computations 1'!H20</f>
        <v>-514742.65414865321</v>
      </c>
      <c r="D27" s="301">
        <f>-'Computations 1'!I20</f>
        <v>-1066091.8254823205</v>
      </c>
      <c r="E27" s="301">
        <f>-'Computations 1'!J20</f>
        <v>-1534252.5055104077</v>
      </c>
      <c r="F27" s="301">
        <f>-'Computations 1'!K20</f>
        <v>-1840551.4206799495</v>
      </c>
      <c r="G27" s="301">
        <f>-'Computations 1'!L20</f>
        <v>-2015921.0145393417</v>
      </c>
      <c r="H27" s="252" t="e">
        <f>-'Computations 1'!#REF!</f>
        <v>#REF!</v>
      </c>
      <c r="I27" s="46" t="e">
        <f>-'Computations 1'!#REF!</f>
        <v>#REF!</v>
      </c>
      <c r="J27" s="46" t="e">
        <f>-'Computations 1'!#REF!</f>
        <v>#REF!</v>
      </c>
      <c r="K27" s="46" t="e">
        <f>-'Computations 1'!#REF!</f>
        <v>#REF!</v>
      </c>
      <c r="L27" s="46" t="e">
        <f>-'Computations 1'!#REF!</f>
        <v>#REF!</v>
      </c>
      <c r="M27" s="46" t="e">
        <f>-'Computations 1'!#REF!</f>
        <v>#REF!</v>
      </c>
      <c r="N27" s="46" t="e">
        <f>-'Computations 1'!#REF!</f>
        <v>#REF!</v>
      </c>
    </row>
    <row r="28" spans="1:27" ht="13.8" customHeight="1" x14ac:dyDescent="0.2">
      <c r="A28" s="239" t="s">
        <v>348</v>
      </c>
      <c r="B28" s="301">
        <f>-'Computations 1'!G21</f>
        <v>-900000</v>
      </c>
      <c r="C28" s="301">
        <f>-'Computations 1'!H21</f>
        <v>-4414181.6908686487</v>
      </c>
      <c r="D28" s="301">
        <f>-'Computations 1'!I21</f>
        <v>-9775839.278921593</v>
      </c>
      <c r="E28" s="301">
        <f>-'Computations 1'!J21</f>
        <v>-14548089.922345562</v>
      </c>
      <c r="F28" s="301">
        <f>-'Computations 1'!K21</f>
        <v>-17747285.618335593</v>
      </c>
      <c r="G28" s="301">
        <f>-'Computations 1'!L21</f>
        <v>-19601753.3306836</v>
      </c>
      <c r="H28" s="254"/>
      <c r="I28" s="47"/>
      <c r="J28" s="47"/>
      <c r="K28" s="47"/>
      <c r="L28" s="47"/>
      <c r="M28" s="47"/>
      <c r="N28" s="47"/>
    </row>
    <row r="29" spans="1:27" s="245" customFormat="1" ht="1.8" customHeight="1" x14ac:dyDescent="0.25">
      <c r="A29" s="285"/>
      <c r="B29" s="282"/>
      <c r="C29" s="282"/>
      <c r="D29" s="282"/>
      <c r="E29" s="282"/>
      <c r="F29" s="282"/>
      <c r="G29" s="282"/>
      <c r="H29" s="246"/>
      <c r="I29" s="244"/>
      <c r="J29" s="243"/>
      <c r="K29" s="244"/>
      <c r="L29" s="244"/>
      <c r="M29" s="244"/>
      <c r="N29" s="243"/>
    </row>
    <row r="30" spans="1:27" ht="1.8" customHeight="1" x14ac:dyDescent="0.25">
      <c r="A30" s="286"/>
      <c r="B30" s="283"/>
      <c r="C30" s="283"/>
      <c r="D30" s="283"/>
      <c r="E30" s="283"/>
      <c r="F30" s="283"/>
      <c r="G30" s="283"/>
      <c r="H30" s="247"/>
      <c r="I30" s="242"/>
      <c r="J30" s="241"/>
      <c r="K30" s="242"/>
      <c r="L30" s="242"/>
      <c r="M30" s="242"/>
      <c r="N30" s="241"/>
      <c r="AA30" s="264"/>
    </row>
    <row r="31" spans="1:27" s="19" customFormat="1" ht="13.8" customHeight="1" x14ac:dyDescent="0.25">
      <c r="A31" s="264" t="s">
        <v>349</v>
      </c>
      <c r="B31" s="302">
        <f t="shared" ref="B31:G31" ca="1" si="4">SUM(B34:B36)</f>
        <v>-28501.53592567618</v>
      </c>
      <c r="C31" s="302">
        <f t="shared" ca="1" si="4"/>
        <v>-2446381.8336205389</v>
      </c>
      <c r="D31" s="302">
        <f t="shared" ca="1" si="4"/>
        <v>-6067478.843588803</v>
      </c>
      <c r="E31" s="302">
        <f t="shared" ca="1" si="4"/>
        <v>-23705902.223231103</v>
      </c>
      <c r="F31" s="302">
        <f t="shared" ca="1" si="4"/>
        <v>-44247834.6387638</v>
      </c>
      <c r="G31" s="302">
        <f t="shared" ca="1" si="4"/>
        <v>-74383557.402145326</v>
      </c>
      <c r="H31" s="250">
        <f>'Computations 2'!K22</f>
        <v>-25204993.227331735</v>
      </c>
      <c r="I31" s="42" t="e">
        <f>'Computations 2'!#REF!</f>
        <v>#REF!</v>
      </c>
      <c r="J31" s="42" t="e">
        <f>'Computations 2'!#REF!</f>
        <v>#REF!</v>
      </c>
      <c r="K31" s="42" t="e">
        <f>'Computations 2'!#REF!</f>
        <v>#REF!</v>
      </c>
      <c r="L31" s="42" t="e">
        <f>'Computations 2'!#REF!</f>
        <v>#REF!</v>
      </c>
      <c r="M31" s="42" t="e">
        <f>'Computations 2'!#REF!</f>
        <v>#REF!</v>
      </c>
      <c r="N31" s="42" t="e">
        <f>'Computations 2'!#REF!</f>
        <v>#REF!</v>
      </c>
      <c r="P31" s="157"/>
      <c r="Q31" s="157"/>
      <c r="R31" s="157"/>
      <c r="S31" s="157"/>
    </row>
    <row r="32" spans="1:27" s="245" customFormat="1" ht="1.8" customHeight="1" x14ac:dyDescent="0.25">
      <c r="A32" s="285"/>
      <c r="B32" s="282"/>
      <c r="C32" s="282"/>
      <c r="D32" s="282"/>
      <c r="E32" s="282"/>
      <c r="F32" s="282"/>
      <c r="G32" s="282"/>
      <c r="H32" s="246"/>
      <c r="I32" s="244"/>
      <c r="J32" s="243"/>
      <c r="K32" s="244"/>
      <c r="L32" s="244"/>
      <c r="M32" s="244"/>
      <c r="N32" s="243"/>
    </row>
    <row r="33" spans="1:19" ht="1.8" customHeight="1" x14ac:dyDescent="0.25">
      <c r="A33" s="286"/>
      <c r="B33" s="283"/>
      <c r="C33" s="283"/>
      <c r="D33" s="283"/>
      <c r="E33" s="283"/>
      <c r="F33" s="283"/>
      <c r="G33" s="283"/>
      <c r="H33" s="247"/>
      <c r="I33" s="242"/>
      <c r="J33" s="241"/>
      <c r="K33" s="242"/>
      <c r="L33" s="242"/>
      <c r="M33" s="242"/>
      <c r="N33" s="241"/>
    </row>
    <row r="34" spans="1:19" ht="13.8" customHeight="1" x14ac:dyDescent="0.2">
      <c r="A34" s="239" t="s">
        <v>350</v>
      </c>
      <c r="B34" s="301">
        <f>-'Computations 1'!G24</f>
        <v>-20229.265003371544</v>
      </c>
      <c r="C34" s="301">
        <f>-'Computations 1'!H24</f>
        <v>-1736345.2461227239</v>
      </c>
      <c r="D34" s="301">
        <f>-'Computations 1'!I24</f>
        <v>-2731278.1540192044</v>
      </c>
      <c r="E34" s="301">
        <f>-'Computations 1'!J24</f>
        <v>-4993372.1631927434</v>
      </c>
      <c r="F34" s="301">
        <f>-'Computations 1'!K24</f>
        <v>-9530867.6912725456</v>
      </c>
      <c r="G34" s="301">
        <f>-'Computations 1'!L24</f>
        <v>-16995949.580129288</v>
      </c>
      <c r="H34" s="254"/>
      <c r="I34" s="47"/>
      <c r="J34" s="47"/>
      <c r="K34" s="47"/>
      <c r="L34" s="47"/>
      <c r="M34" s="47"/>
      <c r="N34" s="47"/>
      <c r="P34" s="18"/>
      <c r="Q34" s="18"/>
      <c r="R34" s="18"/>
      <c r="S34" s="18"/>
    </row>
    <row r="35" spans="1:19" ht="13.8" customHeight="1" x14ac:dyDescent="0.2">
      <c r="A35" s="239" t="s">
        <v>351</v>
      </c>
      <c r="B35" s="301">
        <f>-'Computations 1'!G26</f>
        <v>-8272.2709223046386</v>
      </c>
      <c r="C35" s="301">
        <f>-'Computations 1'!H26</f>
        <v>-710036.58749781502</v>
      </c>
      <c r="D35" s="301">
        <f>-'Computations 1'!I26</f>
        <v>-1116890.4480935573</v>
      </c>
      <c r="E35" s="301">
        <f>-'Computations 1'!J26</f>
        <v>-2041919.3353263373</v>
      </c>
      <c r="F35" s="301">
        <f>-'Computations 1'!K26</f>
        <v>-3897418.8955311188</v>
      </c>
      <c r="G35" s="301">
        <f>-'Computations 1'!L26</f>
        <v>-6950084.4190447219</v>
      </c>
      <c r="H35" s="254"/>
      <c r="I35" s="47"/>
      <c r="J35" s="47"/>
      <c r="K35" s="47"/>
      <c r="L35" s="47"/>
      <c r="M35" s="47"/>
      <c r="N35" s="47"/>
      <c r="P35" s="18"/>
      <c r="Q35" s="18"/>
      <c r="R35" s="18"/>
      <c r="S35" s="18"/>
    </row>
    <row r="36" spans="1:19" ht="13.8" customHeight="1" x14ac:dyDescent="0.2">
      <c r="A36" s="239" t="s">
        <v>352</v>
      </c>
      <c r="B36" s="301">
        <f ca="1">'Computations 2'!F23</f>
        <v>0</v>
      </c>
      <c r="C36" s="301">
        <f ca="1">'Computations 2'!G23</f>
        <v>0</v>
      </c>
      <c r="D36" s="301">
        <f ca="1">'Computations 2'!H23</f>
        <v>-2219310.2414760413</v>
      </c>
      <c r="E36" s="301">
        <f ca="1">'Computations 2'!I23</f>
        <v>-16670610.724712022</v>
      </c>
      <c r="F36" s="301">
        <f ca="1">'Computations 2'!J23</f>
        <v>-30819548.051960137</v>
      </c>
      <c r="G36" s="301">
        <f ca="1">'Computations 2'!K23</f>
        <v>-50437523.40297132</v>
      </c>
      <c r="H36" s="280"/>
      <c r="I36" s="281"/>
      <c r="J36" s="281"/>
      <c r="K36" s="281"/>
      <c r="L36" s="281"/>
      <c r="M36" s="281"/>
      <c r="N36" s="281"/>
      <c r="P36" s="18"/>
      <c r="Q36" s="18"/>
      <c r="R36" s="18"/>
      <c r="S36" s="18"/>
    </row>
    <row r="37" spans="1:19" s="245" customFormat="1" ht="1.8" customHeight="1" x14ac:dyDescent="0.25">
      <c r="A37" s="285"/>
      <c r="B37" s="282"/>
      <c r="C37" s="282"/>
      <c r="D37" s="282"/>
      <c r="E37" s="282"/>
      <c r="F37" s="282"/>
      <c r="G37" s="282"/>
      <c r="H37" s="246"/>
      <c r="I37" s="244"/>
      <c r="J37" s="243"/>
      <c r="K37" s="244"/>
      <c r="L37" s="244"/>
      <c r="M37" s="244"/>
      <c r="N37" s="243"/>
    </row>
    <row r="38" spans="1:19" ht="1.8" customHeight="1" x14ac:dyDescent="0.25">
      <c r="A38" s="286"/>
      <c r="B38" s="283"/>
      <c r="C38" s="283"/>
      <c r="D38" s="283"/>
      <c r="E38" s="283"/>
      <c r="F38" s="283"/>
      <c r="G38" s="283"/>
      <c r="H38" s="247"/>
      <c r="I38" s="242"/>
      <c r="J38" s="241"/>
      <c r="K38" s="242"/>
      <c r="L38" s="242"/>
      <c r="M38" s="242"/>
      <c r="N38" s="241"/>
    </row>
    <row r="39" spans="1:19" s="19" customFormat="1" ht="13.8" customHeight="1" x14ac:dyDescent="0.25">
      <c r="A39" s="264" t="s">
        <v>353</v>
      </c>
      <c r="B39" s="302">
        <f t="shared" ref="B39:G39" si="5">SUM(B42:B50)</f>
        <v>-23000</v>
      </c>
      <c r="C39" s="302">
        <f t="shared" si="5"/>
        <v>-1412188.7419585905</v>
      </c>
      <c r="D39" s="302">
        <f t="shared" si="5"/>
        <v>-7192176.8896732349</v>
      </c>
      <c r="E39" s="302">
        <f t="shared" si="5"/>
        <v>-16425338.376705494</v>
      </c>
      <c r="F39" s="302">
        <f t="shared" si="5"/>
        <v>-19109426.302103773</v>
      </c>
      <c r="G39" s="302">
        <f t="shared" si="5"/>
        <v>-26361827.565395065</v>
      </c>
      <c r="H39" s="250">
        <f>'Computations 2'!K25</f>
        <v>-26361827.565395068</v>
      </c>
      <c r="I39" s="42" t="e">
        <f>'Computations 2'!#REF!</f>
        <v>#REF!</v>
      </c>
      <c r="J39" s="42" t="e">
        <f>'Computations 2'!#REF!</f>
        <v>#REF!</v>
      </c>
      <c r="K39" s="42" t="e">
        <f>'Computations 2'!#REF!</f>
        <v>#REF!</v>
      </c>
      <c r="L39" s="42" t="e">
        <f>'Computations 2'!#REF!</f>
        <v>#REF!</v>
      </c>
      <c r="M39" s="42" t="e">
        <f>'Computations 2'!#REF!</f>
        <v>#REF!</v>
      </c>
      <c r="N39" s="42" t="e">
        <f>'Computations 2'!#REF!</f>
        <v>#REF!</v>
      </c>
    </row>
    <row r="40" spans="1:19" s="245" customFormat="1" ht="1.8" customHeight="1" x14ac:dyDescent="0.25">
      <c r="A40" s="285"/>
      <c r="B40" s="282"/>
      <c r="C40" s="282"/>
      <c r="D40" s="282"/>
      <c r="E40" s="282"/>
      <c r="F40" s="282"/>
      <c r="G40" s="282"/>
      <c r="H40" s="246"/>
      <c r="I40" s="244"/>
      <c r="J40" s="243"/>
      <c r="K40" s="244"/>
      <c r="L40" s="244"/>
      <c r="M40" s="244"/>
      <c r="N40" s="243"/>
    </row>
    <row r="41" spans="1:19" ht="1.8" customHeight="1" x14ac:dyDescent="0.25">
      <c r="A41" s="286"/>
      <c r="B41" s="283"/>
      <c r="C41" s="283"/>
      <c r="D41" s="283"/>
      <c r="E41" s="283"/>
      <c r="F41" s="283"/>
      <c r="G41" s="283"/>
      <c r="H41" s="247"/>
      <c r="I41" s="242"/>
      <c r="J41" s="241"/>
      <c r="K41" s="242"/>
      <c r="L41" s="242"/>
      <c r="M41" s="242"/>
      <c r="N41" s="241"/>
    </row>
    <row r="42" spans="1:19" ht="13.8" customHeight="1" x14ac:dyDescent="0.2">
      <c r="A42" s="239" t="s">
        <v>354</v>
      </c>
      <c r="B42" s="301">
        <f>-'Computations 1'!G32</f>
        <v>0</v>
      </c>
      <c r="C42" s="301">
        <f>-'Computations 1'!H32</f>
        <v>-36400</v>
      </c>
      <c r="D42" s="301">
        <f>-'Computations 1'!I32</f>
        <v>0</v>
      </c>
      <c r="E42" s="301">
        <f>-'Computations 1'!J32</f>
        <v>0</v>
      </c>
      <c r="F42" s="301">
        <f>-'Computations 1'!K32</f>
        <v>0</v>
      </c>
      <c r="G42" s="301">
        <f>-'Computations 1'!L32</f>
        <v>0</v>
      </c>
      <c r="H42" s="253">
        <f>-'Computations 1'!L32</f>
        <v>0</v>
      </c>
      <c r="I42" s="154" t="e">
        <f>-'Computations 1'!#REF!</f>
        <v>#REF!</v>
      </c>
      <c r="J42" s="154" t="e">
        <f>-'Computations 1'!#REF!</f>
        <v>#REF!</v>
      </c>
      <c r="K42" s="154" t="e">
        <f>-'Computations 1'!#REF!</f>
        <v>#REF!</v>
      </c>
      <c r="L42" s="154" t="e">
        <f>-'Computations 1'!#REF!</f>
        <v>#REF!</v>
      </c>
      <c r="M42" s="154" t="e">
        <f>-'Computations 1'!#REF!</f>
        <v>#REF!</v>
      </c>
      <c r="N42" s="154" t="e">
        <f>-'Computations 1'!#REF!</f>
        <v>#REF!</v>
      </c>
    </row>
    <row r="43" spans="1:19" ht="13.8" customHeight="1" x14ac:dyDescent="0.2">
      <c r="A43" s="239" t="s">
        <v>355</v>
      </c>
      <c r="B43" s="301">
        <f>-'Computations 1'!G33</f>
        <v>0</v>
      </c>
      <c r="C43" s="301">
        <f>-'Computations 1'!H33</f>
        <v>0</v>
      </c>
      <c r="D43" s="301">
        <f>-'Computations 1'!I33</f>
        <v>-8276.3830721210998</v>
      </c>
      <c r="E43" s="301">
        <f>-'Computations 1'!J33</f>
        <v>-18901.425059499994</v>
      </c>
      <c r="F43" s="301">
        <f>-'Computations 1'!K33</f>
        <v>-28564.164876089348</v>
      </c>
      <c r="G43" s="301">
        <f>-'Computations 1'!L33</f>
        <v>-39404.824462473945</v>
      </c>
      <c r="H43" s="253">
        <f>-'Computations 1'!L33</f>
        <v>-39404.824462473945</v>
      </c>
      <c r="I43" s="154" t="e">
        <f>-'Computations 1'!#REF!</f>
        <v>#REF!</v>
      </c>
      <c r="J43" s="154" t="e">
        <f>-'Computations 1'!#REF!</f>
        <v>#REF!</v>
      </c>
      <c r="K43" s="154" t="e">
        <f>-'Computations 1'!#REF!</f>
        <v>#REF!</v>
      </c>
      <c r="L43" s="154" t="e">
        <f>-'Computations 1'!#REF!</f>
        <v>#REF!</v>
      </c>
      <c r="M43" s="154" t="e">
        <f>-'Computations 1'!#REF!</f>
        <v>#REF!</v>
      </c>
      <c r="N43" s="154" t="e">
        <f>-'Computations 1'!#REF!</f>
        <v>#REF!</v>
      </c>
    </row>
    <row r="44" spans="1:19" ht="13.8" customHeight="1" x14ac:dyDescent="0.2">
      <c r="A44" s="239" t="s">
        <v>356</v>
      </c>
      <c r="B44" s="301">
        <f>-'Computations 1'!G34</f>
        <v>0</v>
      </c>
      <c r="C44" s="301">
        <f>-'Computations 1'!H34</f>
        <v>-439554.18860730052</v>
      </c>
      <c r="D44" s="301">
        <f>-'Computations 1'!I34</f>
        <v>-2292558.1109775444</v>
      </c>
      <c r="E44" s="301">
        <f>-'Computations 1'!J34</f>
        <v>-5235694.7414814979</v>
      </c>
      <c r="F44" s="301">
        <f>-'Computations 1'!K34</f>
        <v>-7912273.6706767483</v>
      </c>
      <c r="G44" s="301">
        <f>-'Computations 1'!L34</f>
        <v>-10915136.376105281</v>
      </c>
      <c r="H44" s="253">
        <f>-'Computations 1'!L34</f>
        <v>-10915136.376105281</v>
      </c>
      <c r="I44" s="154" t="e">
        <f>-'Computations 1'!#REF!</f>
        <v>#REF!</v>
      </c>
      <c r="J44" s="154" t="e">
        <f>-'Computations 1'!#REF!</f>
        <v>#REF!</v>
      </c>
      <c r="K44" s="154" t="e">
        <f>-'Computations 1'!#REF!</f>
        <v>#REF!</v>
      </c>
      <c r="L44" s="154" t="e">
        <f>-'Computations 1'!#REF!</f>
        <v>#REF!</v>
      </c>
      <c r="M44" s="154" t="e">
        <f>-'Computations 1'!#REF!</f>
        <v>#REF!</v>
      </c>
      <c r="N44" s="154" t="e">
        <f>-'Computations 1'!#REF!</f>
        <v>#REF!</v>
      </c>
    </row>
    <row r="45" spans="1:19" ht="13.8" customHeight="1" x14ac:dyDescent="0.2">
      <c r="A45" s="239" t="s">
        <v>357</v>
      </c>
      <c r="B45" s="301">
        <f>-'Computations 1'!G35</f>
        <v>0</v>
      </c>
      <c r="C45" s="301">
        <f>-'Computations 1'!H35</f>
        <v>0</v>
      </c>
      <c r="D45" s="301">
        <f>-'Computations 1'!I35</f>
        <v>-8276.3830721210998</v>
      </c>
      <c r="E45" s="301">
        <f>-'Computations 1'!J35</f>
        <v>-18901.425059499994</v>
      </c>
      <c r="F45" s="301">
        <f>-'Computations 1'!K35</f>
        <v>-28564.164876089348</v>
      </c>
      <c r="G45" s="301">
        <f>-'Computations 1'!L35</f>
        <v>-39404.824462473945</v>
      </c>
      <c r="H45" s="253">
        <f>-'Computations 1'!L35</f>
        <v>-39404.824462473945</v>
      </c>
      <c r="I45" s="154" t="e">
        <f>-'Computations 1'!#REF!</f>
        <v>#REF!</v>
      </c>
      <c r="J45" s="154" t="e">
        <f>-'Computations 1'!#REF!</f>
        <v>#REF!</v>
      </c>
      <c r="K45" s="154" t="e">
        <f>-'Computations 1'!#REF!</f>
        <v>#REF!</v>
      </c>
      <c r="L45" s="154" t="e">
        <f>-'Computations 1'!#REF!</f>
        <v>#REF!</v>
      </c>
      <c r="M45" s="154" t="e">
        <f>-'Computations 1'!#REF!</f>
        <v>#REF!</v>
      </c>
      <c r="N45" s="154" t="e">
        <f>-'Computations 1'!#REF!</f>
        <v>#REF!</v>
      </c>
    </row>
    <row r="46" spans="1:19" ht="13.8" customHeight="1" x14ac:dyDescent="0.2">
      <c r="A46" s="239" t="s">
        <v>358</v>
      </c>
      <c r="B46" s="301">
        <f>-'Computations 1'!G36</f>
        <v>-3000</v>
      </c>
      <c r="C46" s="301">
        <f>-'Computations 1'!H36</f>
        <v>-15868.382260191354</v>
      </c>
      <c r="D46" s="301">
        <f>-'Computations 1'!I36</f>
        <v>-82763.830721210994</v>
      </c>
      <c r="E46" s="301">
        <f>-'Computations 1'!J36</f>
        <v>-189014.25059499993</v>
      </c>
      <c r="F46" s="301">
        <f>-'Computations 1'!K36</f>
        <v>-285641.6487608935</v>
      </c>
      <c r="G46" s="301">
        <f>-'Computations 1'!L36</f>
        <v>-394048.2446247394</v>
      </c>
      <c r="H46" s="253">
        <f>-'Computations 1'!L39</f>
        <v>-3940482.4462473942</v>
      </c>
      <c r="I46" s="154" t="e">
        <f>-'Computations 1'!#REF!</f>
        <v>#REF!</v>
      </c>
      <c r="J46" s="154" t="e">
        <f>-'Computations 1'!#REF!</f>
        <v>#REF!</v>
      </c>
      <c r="K46" s="154" t="e">
        <f>-'Computations 1'!#REF!</f>
        <v>#REF!</v>
      </c>
      <c r="L46" s="154" t="e">
        <f>-'Computations 1'!#REF!</f>
        <v>#REF!</v>
      </c>
      <c r="M46" s="154" t="e">
        <f>-'Computations 1'!#REF!</f>
        <v>#REF!</v>
      </c>
      <c r="N46" s="154" t="e">
        <f>-'Computations 1'!#REF!</f>
        <v>#REF!</v>
      </c>
    </row>
    <row r="47" spans="1:19" ht="13.8" customHeight="1" x14ac:dyDescent="0.2">
      <c r="A47" s="239" t="s">
        <v>359</v>
      </c>
      <c r="B47" s="301">
        <f>-'Computations 1'!G38</f>
        <v>0</v>
      </c>
      <c r="C47" s="301">
        <f>-'Computations 1'!H38</f>
        <v>-79341.911300956781</v>
      </c>
      <c r="D47" s="301">
        <f>-'Computations 1'!I38</f>
        <v>-413819.15360605496</v>
      </c>
      <c r="E47" s="301">
        <f>-'Computations 1'!J38</f>
        <v>-945071.25297499972</v>
      </c>
      <c r="F47" s="301">
        <f>-'Computations 1'!K38</f>
        <v>-1428208.2438044674</v>
      </c>
      <c r="G47" s="301">
        <f>-'Computations 1'!L38</f>
        <v>-1970241.2231236971</v>
      </c>
      <c r="H47" s="253">
        <f>-'Computations 1'!L37</f>
        <v>-394048.2446247394</v>
      </c>
      <c r="I47" s="154" t="e">
        <f>-'Computations 1'!#REF!</f>
        <v>#REF!</v>
      </c>
      <c r="J47" s="154" t="e">
        <f>-'Computations 1'!#REF!</f>
        <v>#REF!</v>
      </c>
      <c r="K47" s="154" t="e">
        <f>-'Computations 1'!#REF!</f>
        <v>#REF!</v>
      </c>
      <c r="L47" s="154" t="e">
        <f>-'Computations 1'!#REF!</f>
        <v>#REF!</v>
      </c>
      <c r="M47" s="154" t="e">
        <f>-'Computations 1'!#REF!</f>
        <v>#REF!</v>
      </c>
      <c r="N47" s="154" t="e">
        <f>-'Computations 1'!#REF!</f>
        <v>#REF!</v>
      </c>
    </row>
    <row r="48" spans="1:19" ht="13.8" customHeight="1" x14ac:dyDescent="0.2">
      <c r="A48" s="239" t="s">
        <v>360</v>
      </c>
      <c r="B48" s="301">
        <f>-'Computations 1'!G39</f>
        <v>-15000</v>
      </c>
      <c r="C48" s="301">
        <f>-'Computations 1'!H39</f>
        <v>-158683.82260191356</v>
      </c>
      <c r="D48" s="301">
        <f>-'Computations 1'!I39</f>
        <v>-827638.30721210991</v>
      </c>
      <c r="E48" s="301">
        <f>-'Computations 1'!J39</f>
        <v>-1890142.5059499994</v>
      </c>
      <c r="F48" s="301">
        <f>-'Computations 1'!K39</f>
        <v>-2856416.4876089348</v>
      </c>
      <c r="G48" s="301">
        <f>-'Computations 1'!L39</f>
        <v>-3940482.4462473942</v>
      </c>
      <c r="H48" s="253">
        <f>-'Computations 1'!L38</f>
        <v>-1970241.2231236971</v>
      </c>
      <c r="I48" s="154" t="e">
        <f>-'Computations 1'!#REF!</f>
        <v>#REF!</v>
      </c>
      <c r="J48" s="154" t="e">
        <f>-'Computations 1'!#REF!</f>
        <v>#REF!</v>
      </c>
      <c r="K48" s="154" t="e">
        <f>-'Computations 1'!#REF!</f>
        <v>#REF!</v>
      </c>
      <c r="L48" s="154" t="e">
        <f>-'Computations 1'!#REF!</f>
        <v>#REF!</v>
      </c>
      <c r="M48" s="154" t="e">
        <f>-'Computations 1'!#REF!</f>
        <v>#REF!</v>
      </c>
      <c r="N48" s="154" t="e">
        <f>-'Computations 1'!#REF!</f>
        <v>#REF!</v>
      </c>
    </row>
    <row r="49" spans="1:15" ht="13.8" customHeight="1" x14ac:dyDescent="0.2">
      <c r="A49" s="239" t="s">
        <v>361</v>
      </c>
      <c r="B49" s="301">
        <f>-'Computations 1'!G40</f>
        <v>0</v>
      </c>
      <c r="C49" s="301">
        <f>-'Computations 1'!H40</f>
        <v>-364972.79198440118</v>
      </c>
      <c r="D49" s="301">
        <f>-'Computations 1'!I40</f>
        <v>-1903568.1065878526</v>
      </c>
      <c r="E49" s="301">
        <f>-'Computations 1'!J40</f>
        <v>-4347327.7636849983</v>
      </c>
      <c r="F49" s="301">
        <f>-'Computations 1'!K40</f>
        <v>-6569757.9215005497</v>
      </c>
      <c r="G49" s="301">
        <f>-'Computations 1'!L40</f>
        <v>-9063109.6263690069</v>
      </c>
      <c r="H49" s="253">
        <f>-'Computations 1'!L40</f>
        <v>-9063109.6263690069</v>
      </c>
      <c r="I49" s="154" t="e">
        <f>-'Computations 1'!#REF!</f>
        <v>#REF!</v>
      </c>
      <c r="J49" s="154" t="e">
        <f>-'Computations 1'!#REF!</f>
        <v>#REF!</v>
      </c>
      <c r="K49" s="154" t="e">
        <f>-'Computations 1'!#REF!</f>
        <v>#REF!</v>
      </c>
      <c r="L49" s="154" t="e">
        <f>-'Computations 1'!#REF!</f>
        <v>#REF!</v>
      </c>
      <c r="M49" s="154" t="e">
        <f>-'Computations 1'!#REF!</f>
        <v>#REF!</v>
      </c>
      <c r="N49" s="154" t="e">
        <f>-'Computations 1'!#REF!</f>
        <v>#REF!</v>
      </c>
    </row>
    <row r="50" spans="1:15" ht="13.8" customHeight="1" x14ac:dyDescent="0.2">
      <c r="A50" s="239" t="s">
        <v>362</v>
      </c>
      <c r="B50" s="301">
        <f>-'Computations 1'!G41</f>
        <v>-5000</v>
      </c>
      <c r="C50" s="301">
        <f>-'Computations 1'!H41</f>
        <v>-317367.64520382712</v>
      </c>
      <c r="D50" s="301">
        <f>-'Computations 1'!I41</f>
        <v>-1655276.6144242198</v>
      </c>
      <c r="E50" s="301">
        <f>-'Computations 1'!J41</f>
        <v>-3780285.0118999989</v>
      </c>
      <c r="F50" s="301">
        <f>-'Computations 1'!K41</f>
        <v>0</v>
      </c>
      <c r="G50" s="301">
        <f>-'Computations 1'!L41</f>
        <v>0</v>
      </c>
      <c r="H50" s="253">
        <f>-'Computations 1'!L41</f>
        <v>0</v>
      </c>
      <c r="I50" s="154" t="e">
        <f>-'Computations 1'!#REF!</f>
        <v>#REF!</v>
      </c>
      <c r="J50" s="154" t="e">
        <f>-'Computations 1'!#REF!</f>
        <v>#REF!</v>
      </c>
      <c r="K50" s="154" t="e">
        <f>-'Computations 1'!#REF!</f>
        <v>#REF!</v>
      </c>
      <c r="L50" s="154" t="e">
        <f>-'Computations 1'!#REF!</f>
        <v>#REF!</v>
      </c>
      <c r="M50" s="154" t="e">
        <f>-'Computations 1'!#REF!</f>
        <v>#REF!</v>
      </c>
      <c r="N50" s="154" t="e">
        <f>-'Computations 1'!#REF!</f>
        <v>#REF!</v>
      </c>
    </row>
    <row r="51" spans="1:15" s="245" customFormat="1" ht="1.8" customHeight="1" x14ac:dyDescent="0.25">
      <c r="A51" s="285"/>
      <c r="B51" s="282"/>
      <c r="C51" s="282"/>
      <c r="D51" s="282"/>
      <c r="E51" s="282"/>
      <c r="F51" s="282"/>
      <c r="G51" s="282"/>
      <c r="H51" s="246"/>
      <c r="I51" s="244"/>
      <c r="J51" s="243"/>
      <c r="K51" s="244"/>
      <c r="L51" s="244"/>
      <c r="M51" s="244"/>
      <c r="N51" s="243"/>
    </row>
    <row r="52" spans="1:15" ht="1.8" customHeight="1" x14ac:dyDescent="0.25">
      <c r="A52" s="286"/>
      <c r="B52" s="283"/>
      <c r="C52" s="283"/>
      <c r="D52" s="283"/>
      <c r="E52" s="283"/>
      <c r="F52" s="283"/>
      <c r="G52" s="283"/>
      <c r="H52" s="247"/>
      <c r="I52" s="242"/>
      <c r="J52" s="241"/>
      <c r="K52" s="242"/>
      <c r="L52" s="242"/>
      <c r="M52" s="242"/>
      <c r="N52" s="241"/>
    </row>
    <row r="53" spans="1:15" s="19" customFormat="1" ht="13.8" customHeight="1" x14ac:dyDescent="0.25">
      <c r="A53" s="264" t="s">
        <v>363</v>
      </c>
      <c r="B53" s="302">
        <f>-'Computations 1'!G37</f>
        <v>0</v>
      </c>
      <c r="C53" s="302">
        <f>-'Computations 1'!H37</f>
        <v>-15868.382260191354</v>
      </c>
      <c r="D53" s="302">
        <f>-'Computations 1'!I37</f>
        <v>-82763.830721210994</v>
      </c>
      <c r="E53" s="302">
        <f>-'Computations 1'!J37</f>
        <v>-189014.25059499993</v>
      </c>
      <c r="F53" s="302">
        <f>-'Computations 1'!K37</f>
        <v>-285641.6487608935</v>
      </c>
      <c r="G53" s="302">
        <f>-'Computations 1'!L37</f>
        <v>-394048.2446247394</v>
      </c>
      <c r="H53" s="256">
        <f>-'Computations 1'!M37</f>
        <v>0</v>
      </c>
      <c r="I53" s="45">
        <f>-'Computations 1'!N37</f>
        <v>0</v>
      </c>
      <c r="J53" s="45">
        <f>-'Computations 1'!O37</f>
        <v>0</v>
      </c>
      <c r="K53" s="45">
        <f>-'Computations 1'!P37</f>
        <v>0</v>
      </c>
      <c r="L53" s="45">
        <f>-'Computations 1'!Q37</f>
        <v>0</v>
      </c>
      <c r="M53" s="45">
        <f>-'Computations 1'!R37</f>
        <v>0</v>
      </c>
      <c r="N53" s="45">
        <f>-'Computations 1'!S37</f>
        <v>0</v>
      </c>
    </row>
    <row r="54" spans="1:15" s="245" customFormat="1" ht="1.8" customHeight="1" x14ac:dyDescent="0.25">
      <c r="A54" s="285"/>
      <c r="B54" s="282"/>
      <c r="C54" s="282"/>
      <c r="D54" s="282"/>
      <c r="E54" s="282"/>
      <c r="F54" s="282"/>
      <c r="G54" s="282"/>
      <c r="H54" s="246"/>
      <c r="I54" s="244"/>
      <c r="J54" s="243"/>
      <c r="K54" s="244"/>
      <c r="L54" s="244"/>
      <c r="M54" s="244"/>
      <c r="N54" s="243"/>
    </row>
    <row r="55" spans="1:15" ht="1.8" customHeight="1" x14ac:dyDescent="0.25">
      <c r="A55" s="286"/>
      <c r="B55" s="283"/>
      <c r="C55" s="283"/>
      <c r="D55" s="283"/>
      <c r="E55" s="283"/>
      <c r="F55" s="283"/>
      <c r="G55" s="283"/>
      <c r="H55" s="247"/>
      <c r="I55" s="242"/>
      <c r="J55" s="241"/>
      <c r="K55" s="242"/>
      <c r="L55" s="242"/>
      <c r="M55" s="242"/>
      <c r="N55" s="241"/>
    </row>
    <row r="56" spans="1:15" ht="13.8" customHeight="1" x14ac:dyDescent="0.25">
      <c r="A56" s="249" t="s">
        <v>17</v>
      </c>
      <c r="B56" s="302">
        <f t="shared" ref="B56:G56" ca="1" si="6">B15+B23+B31+B39+B53</f>
        <v>-553168.20259234274</v>
      </c>
      <c r="C56" s="302">
        <f t="shared" ca="1" si="6"/>
        <v>6446553.1134920837</v>
      </c>
      <c r="D56" s="302">
        <f t="shared" ca="1" si="6"/>
        <v>57041418.983588234</v>
      </c>
      <c r="E56" s="302">
        <f t="shared" ca="1" si="6"/>
        <v>130186146.44384822</v>
      </c>
      <c r="F56" s="302">
        <f t="shared" ca="1" si="6"/>
        <v>199364999.77898189</v>
      </c>
      <c r="G56" s="302">
        <f t="shared" ca="1" si="6"/>
        <v>267877839.06157327</v>
      </c>
      <c r="H56" s="250" t="e">
        <f>H15+#REF!+H23+H31+H39+#REF!+H53</f>
        <v>#REF!</v>
      </c>
      <c r="I56" s="42" t="e">
        <f>I15+#REF!+I23+I31+I39+#REF!+I53</f>
        <v>#REF!</v>
      </c>
      <c r="J56" s="42" t="e">
        <f>J15+#REF!+J23+J31+J39+#REF!+J53</f>
        <v>#REF!</v>
      </c>
      <c r="K56" s="42" t="e">
        <f>K15+#REF!+K23+K31+K39+#REF!+K53</f>
        <v>#REF!</v>
      </c>
      <c r="L56" s="42" t="e">
        <f>L15+#REF!+L23+L31+L39+#REF!+L53</f>
        <v>#REF!</v>
      </c>
      <c r="M56" s="42" t="e">
        <f>M15+#REF!+M23+M31+M39+#REF!+M53</f>
        <v>#REF!</v>
      </c>
      <c r="N56" s="42" t="e">
        <f>N15+#REF!+N23+N31+N39+#REF!+N53</f>
        <v>#REF!</v>
      </c>
    </row>
    <row r="57" spans="1:15" ht="13.8" customHeight="1" x14ac:dyDescent="0.2">
      <c r="A57" s="239" t="s">
        <v>364</v>
      </c>
      <c r="B57" s="284">
        <f t="shared" ref="B57:G57" ca="1" si="7">IFERROR( B56/B15,"n.s.")</f>
        <v>-0.89461164839731955</v>
      </c>
      <c r="C57" s="284">
        <f t="shared" ca="1" si="7"/>
        <v>0.40625143809803493</v>
      </c>
      <c r="D57" s="284">
        <f t="shared" ca="1" si="7"/>
        <v>0.68920709066417674</v>
      </c>
      <c r="E57" s="284">
        <f t="shared" ca="1" si="7"/>
        <v>0.68876365688848273</v>
      </c>
      <c r="F57" s="284">
        <f t="shared" ca="1" si="7"/>
        <v>0.69795493984796131</v>
      </c>
      <c r="G57" s="284">
        <f t="shared" ca="1" si="7"/>
        <v>0.67980975100315211</v>
      </c>
      <c r="H57" s="257" t="e">
        <f t="shared" ref="H57:N57" si="8">+H56/H15</f>
        <v>#REF!</v>
      </c>
      <c r="I57" s="151" t="e">
        <f t="shared" si="8"/>
        <v>#REF!</v>
      </c>
      <c r="J57" s="151" t="e">
        <f t="shared" si="8"/>
        <v>#REF!</v>
      </c>
      <c r="K57" s="151" t="e">
        <f t="shared" si="8"/>
        <v>#REF!</v>
      </c>
      <c r="L57" s="151" t="e">
        <f t="shared" si="8"/>
        <v>#REF!</v>
      </c>
      <c r="M57" s="151" t="e">
        <f t="shared" si="8"/>
        <v>#REF!</v>
      </c>
      <c r="N57" s="151" t="e">
        <f t="shared" si="8"/>
        <v>#REF!</v>
      </c>
    </row>
    <row r="58" spans="1:15" s="245" customFormat="1" ht="1.8" customHeight="1" x14ac:dyDescent="0.25">
      <c r="A58" s="285"/>
      <c r="B58" s="282"/>
      <c r="C58" s="282"/>
      <c r="D58" s="282"/>
      <c r="E58" s="282"/>
      <c r="F58" s="282"/>
      <c r="G58" s="282"/>
      <c r="H58" s="246"/>
      <c r="I58" s="244"/>
      <c r="J58" s="243"/>
      <c r="K58" s="244"/>
      <c r="L58" s="244"/>
      <c r="M58" s="244"/>
      <c r="N58" s="243"/>
    </row>
    <row r="59" spans="1:15" ht="1.8" customHeight="1" x14ac:dyDescent="0.25">
      <c r="A59" s="286"/>
      <c r="B59" s="283"/>
      <c r="C59" s="283"/>
      <c r="D59" s="283"/>
      <c r="E59" s="283"/>
      <c r="F59" s="283"/>
      <c r="G59" s="283"/>
      <c r="H59" s="247"/>
      <c r="I59" s="242"/>
      <c r="J59" s="241"/>
      <c r="K59" s="242"/>
      <c r="L59" s="242"/>
      <c r="M59" s="242"/>
      <c r="N59" s="241"/>
    </row>
    <row r="60" spans="1:15" ht="13.8" customHeight="1" x14ac:dyDescent="0.2">
      <c r="A60" s="239" t="s">
        <v>326</v>
      </c>
      <c r="B60" s="301">
        <f>'Computations 2'!F28</f>
        <v>-51473.333333333336</v>
      </c>
      <c r="C60" s="301">
        <f>'Computations 2'!G28</f>
        <v>-162536.96022781479</v>
      </c>
      <c r="D60" s="301">
        <f ca="1">'Computations 2'!H28</f>
        <v>-3932556.2655754923</v>
      </c>
      <c r="E60" s="301">
        <f ca="1">'Computations 2'!I28</f>
        <v>-4303749.7209465895</v>
      </c>
      <c r="F60" s="301">
        <f ca="1">'Computations 2'!J28</f>
        <v>-4624320.6545708533</v>
      </c>
      <c r="G60" s="301">
        <f ca="1">'Computations 2'!K28</f>
        <v>-5071589.2961296663</v>
      </c>
      <c r="H60" s="254">
        <f ca="1">'Computations 2'!K28</f>
        <v>-5071589.2961296663</v>
      </c>
      <c r="I60" s="47" t="e">
        <f>'Computations 2'!#REF!</f>
        <v>#REF!</v>
      </c>
      <c r="J60" s="47" t="e">
        <f>'Computations 2'!#REF!</f>
        <v>#REF!</v>
      </c>
      <c r="K60" s="47" t="e">
        <f>'Computations 2'!#REF!</f>
        <v>#REF!</v>
      </c>
      <c r="L60" s="47" t="e">
        <f>'Computations 2'!#REF!</f>
        <v>#REF!</v>
      </c>
      <c r="M60" s="47" t="e">
        <f>'Computations 2'!#REF!</f>
        <v>#REF!</v>
      </c>
      <c r="N60" s="95" t="e">
        <f>'Computations 2'!#REF!</f>
        <v>#REF!</v>
      </c>
    </row>
    <row r="61" spans="1:15" ht="13.8" customHeight="1" x14ac:dyDescent="0.2">
      <c r="A61" s="239" t="s">
        <v>365</v>
      </c>
      <c r="B61" s="301">
        <f>'Computations 2'!F82</f>
        <v>-6923.6392694064016</v>
      </c>
      <c r="C61" s="301">
        <f>'Computations 2'!G82</f>
        <v>-177682.4062942524</v>
      </c>
      <c r="D61" s="301">
        <f>'Computations 2'!H82</f>
        <v>-926728.15385640983</v>
      </c>
      <c r="E61" s="301">
        <f>'Computations 2'!I82</f>
        <v>-2116441.7594020972</v>
      </c>
      <c r="F61" s="301">
        <f>'Computations 2'!J82</f>
        <v>-3198403.8862623903</v>
      </c>
      <c r="G61" s="301">
        <f>'Computations 2'!K82</f>
        <v>-4412260.7555652363</v>
      </c>
      <c r="H61" s="254">
        <f>'Computations 2'!K82</f>
        <v>-4412260.7555652363</v>
      </c>
      <c r="I61" s="47" t="e">
        <f>'Computations 2'!#REF!</f>
        <v>#REF!</v>
      </c>
      <c r="J61" s="47" t="e">
        <f>'Computations 2'!#REF!</f>
        <v>#REF!</v>
      </c>
      <c r="K61" s="47" t="e">
        <f>'Computations 2'!#REF!</f>
        <v>#REF!</v>
      </c>
      <c r="L61" s="47" t="e">
        <f>'Computations 2'!#REF!</f>
        <v>#REF!</v>
      </c>
      <c r="M61" s="47" t="e">
        <f>'Computations 2'!#REF!</f>
        <v>#REF!</v>
      </c>
      <c r="N61" s="47" t="e">
        <f>'Computations 2'!#REF!</f>
        <v>#REF!</v>
      </c>
      <c r="O61" s="152"/>
    </row>
    <row r="62" spans="1:15" ht="13.8" customHeight="1" x14ac:dyDescent="0.2">
      <c r="A62" s="239" t="s">
        <v>366</v>
      </c>
      <c r="B62" s="301">
        <f>-'Computations 1'!G25</f>
        <v>-1498.4640743238181</v>
      </c>
      <c r="C62" s="301">
        <f>-'Computations 1'!H25</f>
        <v>-128618.16637946104</v>
      </c>
      <c r="D62" s="301">
        <f>-'Computations 1'!I25</f>
        <v>-202316.90029771885</v>
      </c>
      <c r="E62" s="301">
        <f>-'Computations 1'!J25</f>
        <v>-369879.41949575883</v>
      </c>
      <c r="F62" s="301">
        <f>-'Computations 1'!K25</f>
        <v>-705990.19935352192</v>
      </c>
      <c r="G62" s="301">
        <f>-'Computations 1'!L25</f>
        <v>-1258959.228157725</v>
      </c>
      <c r="H62" s="258"/>
      <c r="I62" s="214"/>
      <c r="J62" s="214"/>
      <c r="K62" s="214"/>
      <c r="L62" s="214"/>
      <c r="M62" s="214"/>
      <c r="N62" s="214"/>
      <c r="O62" s="152"/>
    </row>
    <row r="63" spans="1:15" s="245" customFormat="1" ht="1.8" customHeight="1" x14ac:dyDescent="0.25">
      <c r="A63" s="285"/>
      <c r="B63" s="282"/>
      <c r="C63" s="282"/>
      <c r="D63" s="282"/>
      <c r="E63" s="282"/>
      <c r="F63" s="282"/>
      <c r="G63" s="282"/>
      <c r="H63" s="246"/>
      <c r="I63" s="244"/>
      <c r="J63" s="243"/>
      <c r="K63" s="244"/>
      <c r="L63" s="244"/>
      <c r="M63" s="244"/>
      <c r="N63" s="243"/>
    </row>
    <row r="64" spans="1:15" ht="1.8" customHeight="1" x14ac:dyDescent="0.25">
      <c r="A64" s="286"/>
      <c r="B64" s="283"/>
      <c r="C64" s="283"/>
      <c r="D64" s="283"/>
      <c r="E64" s="283"/>
      <c r="F64" s="283"/>
      <c r="G64" s="283"/>
      <c r="H64" s="247"/>
      <c r="I64" s="242"/>
      <c r="J64" s="241"/>
      <c r="K64" s="242"/>
      <c r="L64" s="242"/>
      <c r="M64" s="242"/>
      <c r="N64" s="241"/>
    </row>
    <row r="65" spans="1:15" ht="13.8" customHeight="1" x14ac:dyDescent="0.25">
      <c r="A65" s="249" t="s">
        <v>20</v>
      </c>
      <c r="B65" s="302">
        <f ca="1">+B56+B60+B61+B62</f>
        <v>-613063.63926940633</v>
      </c>
      <c r="C65" s="302">
        <f ca="1">+C56+C60+C61</f>
        <v>6106333.7469700165</v>
      </c>
      <c r="D65" s="302">
        <f ca="1">+D56+D60+D61</f>
        <v>52182134.564156331</v>
      </c>
      <c r="E65" s="302">
        <f ca="1">+E56+E60+E61</f>
        <v>123765954.96349953</v>
      </c>
      <c r="F65" s="302">
        <f ca="1">+F56+F60+F61</f>
        <v>191542275.23814866</v>
      </c>
      <c r="G65" s="302">
        <f ca="1">+G56+G60+G61</f>
        <v>258393989.00987837</v>
      </c>
      <c r="H65" s="250" t="e">
        <f t="shared" ref="H65:N65" ca="1" si="9">+H56+H60+H61</f>
        <v>#REF!</v>
      </c>
      <c r="I65" s="42" t="e">
        <f t="shared" si="9"/>
        <v>#REF!</v>
      </c>
      <c r="J65" s="42" t="e">
        <f t="shared" si="9"/>
        <v>#REF!</v>
      </c>
      <c r="K65" s="42" t="e">
        <f t="shared" si="9"/>
        <v>#REF!</v>
      </c>
      <c r="L65" s="42" t="e">
        <f t="shared" si="9"/>
        <v>#REF!</v>
      </c>
      <c r="M65" s="42" t="e">
        <f t="shared" si="9"/>
        <v>#REF!</v>
      </c>
      <c r="N65" s="42" t="e">
        <f t="shared" si="9"/>
        <v>#REF!</v>
      </c>
    </row>
    <row r="66" spans="1:15" ht="13.8" customHeight="1" x14ac:dyDescent="0.2">
      <c r="A66" s="239" t="s">
        <v>367</v>
      </c>
      <c r="B66" s="284">
        <f t="shared" ref="B66:N66" ca="1" si="10">IFERROR( B65/B15,"n.s.")</f>
        <v>-0.99147758372410699</v>
      </c>
      <c r="C66" s="284">
        <f t="shared" ca="1" si="10"/>
        <v>0.38481135927061927</v>
      </c>
      <c r="D66" s="284">
        <f t="shared" ca="1" si="10"/>
        <v>0.63049443349150003</v>
      </c>
      <c r="E66" s="284">
        <f t="shared" ca="1" si="10"/>
        <v>0.65479695088542467</v>
      </c>
      <c r="F66" s="284">
        <f t="shared" ca="1" si="10"/>
        <v>0.67056844150373163</v>
      </c>
      <c r="G66" s="284">
        <f t="shared" ca="1" si="10"/>
        <v>0.65574201264607201</v>
      </c>
      <c r="H66" s="259" t="str">
        <f t="shared" ca="1" si="10"/>
        <v>n.s.</v>
      </c>
      <c r="I66" s="158" t="str">
        <f t="shared" si="10"/>
        <v>n.s.</v>
      </c>
      <c r="J66" s="158" t="str">
        <f t="shared" si="10"/>
        <v>n.s.</v>
      </c>
      <c r="K66" s="158" t="str">
        <f t="shared" si="10"/>
        <v>n.s.</v>
      </c>
      <c r="L66" s="158" t="str">
        <f t="shared" si="10"/>
        <v>n.s.</v>
      </c>
      <c r="M66" s="158" t="str">
        <f t="shared" si="10"/>
        <v>n.s.</v>
      </c>
      <c r="N66" s="158" t="str">
        <f t="shared" si="10"/>
        <v>n.s.</v>
      </c>
    </row>
    <row r="67" spans="1:15" s="245" customFormat="1" ht="1.8" customHeight="1" x14ac:dyDescent="0.25">
      <c r="A67" s="285"/>
      <c r="B67" s="282"/>
      <c r="C67" s="282"/>
      <c r="D67" s="282"/>
      <c r="E67" s="282"/>
      <c r="F67" s="282"/>
      <c r="G67" s="282"/>
      <c r="H67" s="246"/>
      <c r="I67" s="244"/>
      <c r="J67" s="243"/>
      <c r="K67" s="244"/>
      <c r="L67" s="244"/>
      <c r="M67" s="244"/>
      <c r="N67" s="243"/>
    </row>
    <row r="68" spans="1:15" ht="1.8" customHeight="1" x14ac:dyDescent="0.25">
      <c r="A68" s="286"/>
      <c r="B68" s="283"/>
      <c r="C68" s="283"/>
      <c r="D68" s="283"/>
      <c r="E68" s="283"/>
      <c r="F68" s="283"/>
      <c r="G68" s="283"/>
      <c r="H68" s="247"/>
      <c r="I68" s="242"/>
      <c r="J68" s="241"/>
      <c r="K68" s="242"/>
      <c r="L68" s="242"/>
      <c r="M68" s="242"/>
      <c r="N68" s="241"/>
    </row>
    <row r="69" spans="1:15" ht="13.8" customHeight="1" x14ac:dyDescent="0.2">
      <c r="A69" s="239" t="s">
        <v>333</v>
      </c>
      <c r="B69" s="301">
        <f ca="1">'Computations 2'!F30</f>
        <v>0</v>
      </c>
      <c r="C69" s="301">
        <f ca="1">'Computations 2'!G30</f>
        <v>0</v>
      </c>
      <c r="D69" s="301">
        <f ca="1">'Computations 2'!H30</f>
        <v>0</v>
      </c>
      <c r="E69" s="301">
        <f ca="1">'Computations 2'!I30</f>
        <v>0</v>
      </c>
      <c r="F69" s="301">
        <f ca="1">'Computations 2'!J30</f>
        <v>0</v>
      </c>
      <c r="G69" s="301">
        <f ca="1">'Computations 2'!K30</f>
        <v>0</v>
      </c>
      <c r="H69" s="252" t="e">
        <f>'Computations 2'!#REF!</f>
        <v>#REF!</v>
      </c>
      <c r="I69" s="46" t="e">
        <f>'Computations 2'!#REF!</f>
        <v>#REF!</v>
      </c>
      <c r="J69" s="46" t="e">
        <f>'Computations 2'!#REF!</f>
        <v>#REF!</v>
      </c>
      <c r="K69" s="46" t="e">
        <f>'Computations 2'!#REF!</f>
        <v>#REF!</v>
      </c>
      <c r="L69" s="46" t="e">
        <f>'Computations 2'!#REF!</f>
        <v>#REF!</v>
      </c>
      <c r="M69" s="46" t="e">
        <f>'Computations 2'!#REF!</f>
        <v>#REF!</v>
      </c>
      <c r="N69" s="46" t="e">
        <f>'Computations 2'!#REF!</f>
        <v>#REF!</v>
      </c>
    </row>
    <row r="70" spans="1:15" ht="13.8" customHeight="1" x14ac:dyDescent="0.2">
      <c r="A70" s="239" t="s">
        <v>368</v>
      </c>
      <c r="B70" s="301">
        <f>'Computations 2'!F32</f>
        <v>0</v>
      </c>
      <c r="C70" s="301">
        <f>'Computations 2'!G32</f>
        <v>0</v>
      </c>
      <c r="D70" s="301">
        <f>'Computations 2'!H32</f>
        <v>0</v>
      </c>
      <c r="E70" s="301">
        <f>'Computations 2'!I32</f>
        <v>0</v>
      </c>
      <c r="F70" s="301">
        <f>'Computations 2'!J32</f>
        <v>0</v>
      </c>
      <c r="G70" s="301">
        <f>'Computations 2'!K32</f>
        <v>0</v>
      </c>
      <c r="H70" s="252">
        <f>-'Computations 2'!K32</f>
        <v>0</v>
      </c>
      <c r="I70" s="46" t="e">
        <f>-'Computations 2'!#REF!</f>
        <v>#REF!</v>
      </c>
      <c r="J70" s="46" t="e">
        <f>-'Computations 2'!#REF!</f>
        <v>#REF!</v>
      </c>
      <c r="K70" s="46" t="e">
        <f>-'Computations 2'!#REF!</f>
        <v>#REF!</v>
      </c>
      <c r="L70" s="46" t="e">
        <f>-'Computations 2'!#REF!</f>
        <v>#REF!</v>
      </c>
      <c r="M70" s="46" t="e">
        <f>-'Computations 2'!#REF!</f>
        <v>#REF!</v>
      </c>
      <c r="N70" s="46" t="e">
        <f>-'Computations 2'!#REF!</f>
        <v>#REF!</v>
      </c>
    </row>
    <row r="71" spans="1:15" s="245" customFormat="1" ht="1.8" customHeight="1" x14ac:dyDescent="0.25">
      <c r="A71" s="285"/>
      <c r="B71" s="282"/>
      <c r="C71" s="282"/>
      <c r="D71" s="282"/>
      <c r="E71" s="282"/>
      <c r="F71" s="282"/>
      <c r="G71" s="282"/>
      <c r="H71" s="246"/>
      <c r="I71" s="244"/>
      <c r="J71" s="243"/>
      <c r="K71" s="244"/>
      <c r="L71" s="244"/>
      <c r="M71" s="244"/>
      <c r="N71" s="243"/>
    </row>
    <row r="72" spans="1:15" ht="1.8" customHeight="1" x14ac:dyDescent="0.25">
      <c r="A72" s="286"/>
      <c r="B72" s="283"/>
      <c r="C72" s="283"/>
      <c r="D72" s="283"/>
      <c r="E72" s="283"/>
      <c r="F72" s="283"/>
      <c r="G72" s="283"/>
      <c r="H72" s="247"/>
      <c r="I72" s="242"/>
      <c r="J72" s="241"/>
      <c r="K72" s="242"/>
      <c r="L72" s="242"/>
      <c r="M72" s="242"/>
      <c r="N72" s="241"/>
    </row>
    <row r="73" spans="1:15" ht="13.8" customHeight="1" x14ac:dyDescent="0.25">
      <c r="A73" s="249" t="s">
        <v>146</v>
      </c>
      <c r="B73" s="302">
        <f t="shared" ref="B73:N73" ca="1" si="11">+B65+B69+B70</f>
        <v>-613063.63926940633</v>
      </c>
      <c r="C73" s="302">
        <f t="shared" ca="1" si="11"/>
        <v>6106333.7469700165</v>
      </c>
      <c r="D73" s="302">
        <f t="shared" ca="1" si="11"/>
        <v>52182134.564156331</v>
      </c>
      <c r="E73" s="302">
        <f t="shared" ca="1" si="11"/>
        <v>123765954.96349953</v>
      </c>
      <c r="F73" s="302">
        <f t="shared" ca="1" si="11"/>
        <v>191542275.23814866</v>
      </c>
      <c r="G73" s="302">
        <f t="shared" ca="1" si="11"/>
        <v>258393989.00987837</v>
      </c>
      <c r="H73" s="250" t="e">
        <f t="shared" ca="1" si="11"/>
        <v>#REF!</v>
      </c>
      <c r="I73" s="42" t="e">
        <f t="shared" si="11"/>
        <v>#REF!</v>
      </c>
      <c r="J73" s="42" t="e">
        <f t="shared" si="11"/>
        <v>#REF!</v>
      </c>
      <c r="K73" s="42" t="e">
        <f t="shared" si="11"/>
        <v>#REF!</v>
      </c>
      <c r="L73" s="42" t="e">
        <f t="shared" si="11"/>
        <v>#REF!</v>
      </c>
      <c r="M73" s="42" t="e">
        <f t="shared" si="11"/>
        <v>#REF!</v>
      </c>
      <c r="N73" s="42" t="e">
        <f t="shared" si="11"/>
        <v>#REF!</v>
      </c>
    </row>
    <row r="74" spans="1:15" s="245" customFormat="1" ht="1.8" customHeight="1" x14ac:dyDescent="0.25">
      <c r="A74" s="285"/>
      <c r="B74" s="282"/>
      <c r="C74" s="282"/>
      <c r="D74" s="282"/>
      <c r="E74" s="282"/>
      <c r="F74" s="282"/>
      <c r="G74" s="282"/>
      <c r="H74" s="246"/>
      <c r="I74" s="244"/>
      <c r="J74" s="243"/>
      <c r="K74" s="244"/>
      <c r="L74" s="244"/>
      <c r="M74" s="244"/>
      <c r="N74" s="243"/>
    </row>
    <row r="75" spans="1:15" ht="1.8" customHeight="1" x14ac:dyDescent="0.25">
      <c r="A75" s="286"/>
      <c r="B75" s="283"/>
      <c r="C75" s="283"/>
      <c r="D75" s="283"/>
      <c r="E75" s="283"/>
      <c r="F75" s="283"/>
      <c r="G75" s="283"/>
      <c r="H75" s="247"/>
      <c r="I75" s="242"/>
      <c r="J75" s="241"/>
      <c r="K75" s="242"/>
      <c r="L75" s="242"/>
      <c r="M75" s="242"/>
      <c r="N75" s="241"/>
    </row>
    <row r="76" spans="1:15" ht="13.8" customHeight="1" x14ac:dyDescent="0.2">
      <c r="A76" s="239" t="s">
        <v>327</v>
      </c>
      <c r="B76" s="301">
        <f>-'Computations 2'!E56</f>
        <v>0</v>
      </c>
      <c r="C76" s="301">
        <f ca="1">-'Computations 2'!F56</f>
        <v>171623.94627397257</v>
      </c>
      <c r="D76" s="301">
        <f ca="1">-'Computations 2'!G56</f>
        <v>-1788946.3695397913</v>
      </c>
      <c r="E76" s="301">
        <f ca="1">-'Computations 2'!H56</f>
        <v>-14885482.338193323</v>
      </c>
      <c r="F76" s="301">
        <f ca="1">-'Computations 2'!I56</f>
        <v>-35213016.47826349</v>
      </c>
      <c r="G76" s="301">
        <f ca="1">-'Computations 2'!J56</f>
        <v>-54608561.242176518</v>
      </c>
      <c r="H76" s="260">
        <f ca="1">-'Computations 2'!K56</f>
        <v>-73925714.616333634</v>
      </c>
      <c r="I76" s="43" t="e">
        <f>-'Computations 2'!#REF!</f>
        <v>#REF!</v>
      </c>
      <c r="J76" s="43" t="e">
        <f>-'Computations 2'!#REF!</f>
        <v>#REF!</v>
      </c>
      <c r="K76" s="43" t="e">
        <f>-'Computations 2'!#REF!</f>
        <v>#REF!</v>
      </c>
      <c r="L76" s="43" t="e">
        <f>-'Computations 2'!#REF!</f>
        <v>#REF!</v>
      </c>
      <c r="M76" s="43" t="e">
        <f>-'Computations 2'!#REF!</f>
        <v>#REF!</v>
      </c>
      <c r="N76" s="43" t="e">
        <f>-'Computations 2'!#REF!</f>
        <v>#REF!</v>
      </c>
      <c r="O76" s="179"/>
    </row>
    <row r="77" spans="1:15" s="245" customFormat="1" ht="1.8" customHeight="1" x14ac:dyDescent="0.25">
      <c r="A77" s="285"/>
      <c r="B77" s="282"/>
      <c r="C77" s="282"/>
      <c r="D77" s="282"/>
      <c r="E77" s="282"/>
      <c r="F77" s="282"/>
      <c r="G77" s="282"/>
      <c r="H77" s="246" t="e">
        <f t="shared" ref="H77:M77" ca="1" si="12">+H76/H73</f>
        <v>#REF!</v>
      </c>
      <c r="I77" s="244" t="e">
        <f t="shared" si="12"/>
        <v>#REF!</v>
      </c>
      <c r="J77" s="243" t="e">
        <f t="shared" si="12"/>
        <v>#REF!</v>
      </c>
      <c r="K77" s="244" t="e">
        <f t="shared" si="12"/>
        <v>#REF!</v>
      </c>
      <c r="L77" s="244" t="e">
        <f t="shared" si="12"/>
        <v>#REF!</v>
      </c>
      <c r="M77" s="244" t="e">
        <f t="shared" si="12"/>
        <v>#REF!</v>
      </c>
      <c r="N77" s="243" t="e">
        <f>+N76/N73</f>
        <v>#REF!</v>
      </c>
    </row>
    <row r="78" spans="1:15" ht="1.8" customHeight="1" x14ac:dyDescent="0.25">
      <c r="A78" s="286"/>
      <c r="B78" s="283"/>
      <c r="C78" s="283"/>
      <c r="D78" s="283"/>
      <c r="E78" s="283"/>
      <c r="F78" s="283"/>
      <c r="G78" s="283"/>
      <c r="H78" s="247"/>
      <c r="I78" s="242"/>
      <c r="J78" s="241"/>
      <c r="K78" s="242"/>
      <c r="L78" s="242"/>
      <c r="M78" s="242"/>
      <c r="N78" s="241"/>
    </row>
    <row r="79" spans="1:15" ht="13.8" customHeight="1" x14ac:dyDescent="0.25">
      <c r="A79" s="249" t="s">
        <v>369</v>
      </c>
      <c r="B79" s="302">
        <f t="shared" ref="B79:G79" ca="1" si="13">+B73+B76</f>
        <v>-613063.63926940633</v>
      </c>
      <c r="C79" s="302">
        <f t="shared" ca="1" si="13"/>
        <v>6277957.6932439888</v>
      </c>
      <c r="D79" s="302">
        <f ca="1">+D73+D76</f>
        <v>50393188.194616541</v>
      </c>
      <c r="E79" s="302">
        <f t="shared" ca="1" si="13"/>
        <v>108880472.6253062</v>
      </c>
      <c r="F79" s="302">
        <f t="shared" ca="1" si="13"/>
        <v>156329258.75988516</v>
      </c>
      <c r="G79" s="302">
        <f t="shared" ca="1" si="13"/>
        <v>203785427.76770186</v>
      </c>
      <c r="H79" s="250" t="e">
        <f t="shared" ref="H79:N79" ca="1" si="14">+H73+H76</f>
        <v>#REF!</v>
      </c>
      <c r="I79" s="42" t="e">
        <f t="shared" si="14"/>
        <v>#REF!</v>
      </c>
      <c r="J79" s="42" t="e">
        <f t="shared" si="14"/>
        <v>#REF!</v>
      </c>
      <c r="K79" s="42" t="e">
        <f t="shared" si="14"/>
        <v>#REF!</v>
      </c>
      <c r="L79" s="42" t="e">
        <f t="shared" si="14"/>
        <v>#REF!</v>
      </c>
      <c r="M79" s="42" t="e">
        <f t="shared" si="14"/>
        <v>#REF!</v>
      </c>
      <c r="N79" s="42" t="e">
        <f t="shared" si="14"/>
        <v>#REF!</v>
      </c>
    </row>
    <row r="80" spans="1:15" ht="13.8" customHeight="1" x14ac:dyDescent="0.2">
      <c r="A80" s="239" t="s">
        <v>370</v>
      </c>
      <c r="B80" s="284">
        <f t="shared" ref="B80:G80" ca="1" si="15">IFERROR( B79/B15,"n.s.")</f>
        <v>-0.99147758372410699</v>
      </c>
      <c r="C80" s="284">
        <f t="shared" ca="1" si="15"/>
        <v>0.39562682511079639</v>
      </c>
      <c r="D80" s="284">
        <f t="shared" ca="1" si="15"/>
        <v>0.60887935896014067</v>
      </c>
      <c r="E80" s="284">
        <f t="shared" ca="1" si="15"/>
        <v>0.57604372306617213</v>
      </c>
      <c r="F80" s="284">
        <f t="shared" ca="1" si="15"/>
        <v>0.5472915432257085</v>
      </c>
      <c r="G80" s="284">
        <f t="shared" ca="1" si="15"/>
        <v>0.51715857270667731</v>
      </c>
      <c r="H80" s="261" t="e">
        <f t="shared" ref="H80:N80" ca="1" si="16">+H79/H15</f>
        <v>#REF!</v>
      </c>
      <c r="I80" s="153" t="e">
        <f t="shared" si="16"/>
        <v>#REF!</v>
      </c>
      <c r="J80" s="153" t="e">
        <f t="shared" si="16"/>
        <v>#REF!</v>
      </c>
      <c r="K80" s="153" t="e">
        <f t="shared" si="16"/>
        <v>#REF!</v>
      </c>
      <c r="L80" s="153" t="e">
        <f t="shared" si="16"/>
        <v>#REF!</v>
      </c>
      <c r="M80" s="153" t="e">
        <f t="shared" si="16"/>
        <v>#REF!</v>
      </c>
      <c r="N80" s="153" t="e">
        <f t="shared" si="16"/>
        <v>#REF!</v>
      </c>
    </row>
    <row r="81" spans="1:14" ht="1.8" customHeight="1" x14ac:dyDescent="0.2"/>
    <row r="82" spans="1:14" ht="1.8" customHeight="1" x14ac:dyDescent="0.2">
      <c r="C82" s="180"/>
      <c r="D82" s="21"/>
    </row>
    <row r="83" spans="1:14" ht="13.8" customHeight="1" x14ac:dyDescent="0.25">
      <c r="A83" s="80" t="s">
        <v>206</v>
      </c>
      <c r="B83" s="226" t="str">
        <f ca="1">IF(B79/('4.Personnel'!C6+'4.Personnel'!C16+'4.Personnel'!C36+'4.Personnel'!C46+'4.Personnel'!C56+'4.Personnel'!C66)&lt;0,"n.a",B79/('4.Personnel'!C6+'4.Personnel'!C16+'4.Personnel'!C36+'4.Personnel'!C46+'4.Personnel'!C56+'4.Personnel'!C66))</f>
        <v>n.a</v>
      </c>
      <c r="C83" s="225">
        <f ca="1">IF(C79/('4.Personnel'!D6+'4.Personnel'!D16+'4.Personnel'!D36+'4.Personnel'!D46+'4.Personnel'!D56+'4.Personnel'!D66)&lt;0,"n.a",C79/('4.Personnel'!D6+'4.Personnel'!D16+'4.Personnel'!D36+'4.Personnel'!D46+'4.Personnel'!D56+'4.Personnel'!D66))</f>
        <v>196186.17791387465</v>
      </c>
      <c r="D83" s="225">
        <f ca="1">IF(D79/('4.Personnel'!E6+'4.Personnel'!E16+'4.Personnel'!E36+'4.Personnel'!E46+'4.Personnel'!E56+'4.Personnel'!E66)&lt;0,"n.a",D79/('4.Personnel'!E6+'4.Personnel'!E16+'4.Personnel'!E36+'4.Personnel'!E46+'4.Personnel'!E56+'4.Personnel'!E66))</f>
        <v>1145299.7316958306</v>
      </c>
      <c r="E83" s="225">
        <f ca="1">IF(E79/('4.Personnel'!F6+'4.Personnel'!F16+'4.Personnel'!F36+'4.Personnel'!F46+'4.Personnel'!F56+'4.Personnel'!F66)&lt;0,"n.a",E79/('4.Personnel'!F6+'4.Personnel'!F16+'4.Personnel'!F36+'4.Personnel'!F46+'4.Personnel'!F56+'4.Personnel'!F66))</f>
        <v>1625081.6809747193</v>
      </c>
      <c r="F83" s="225">
        <f ca="1">IF(F79/('4.Personnel'!G6+'4.Personnel'!G16+'4.Personnel'!G36+'4.Personnel'!G46+'4.Personnel'!G56+'4.Personnel'!G66)&lt;0,"n.a",F79/('4.Personnel'!G6+'4.Personnel'!G16+'4.Personnel'!G36+'4.Personnel'!G46+'4.Personnel'!G56+'4.Personnel'!G66))</f>
        <v>1563292.5875988516</v>
      </c>
      <c r="G83" s="225">
        <f ca="1">IF(G79/('4.Personnel'!H6+'4.Personnel'!H16+'4.Personnel'!H36+'4.Personnel'!H46+'4.Personnel'!H56+'4.Personnel'!H66)&lt;0,"n.a",G79/('4.Personnel'!H6+'4.Personnel'!H16+'4.Personnel'!H36+'4.Personnel'!H46+'4.Personnel'!H56+'4.Personnel'!H66))</f>
        <v>1395790.6011486428</v>
      </c>
      <c r="H83" s="225" t="e">
        <f ca="1">IF(H79/('4.Personnel'!I6+'4.Personnel'!I16+'4.Personnel'!I36+'4.Personnel'!I46+'4.Personnel'!I56+'4.Personnel'!I66)&lt;0,"n.a",H79/('4.Personnel'!I6+'4.Personnel'!I16+'4.Personnel'!I36+'4.Personnel'!I46+'4.Personnel'!I56+'4.Personnel'!I66))</f>
        <v>#REF!</v>
      </c>
      <c r="I83" s="225" t="e">
        <f>IF(I79/('4.Personnel'!J6+'4.Personnel'!J16+'4.Personnel'!J36+'4.Personnel'!J46+'4.Personnel'!J56+'4.Personnel'!J66)&lt;0,"n.a",I79/('4.Personnel'!J6+'4.Personnel'!J16+'4.Personnel'!J36+'4.Personnel'!J46+'4.Personnel'!J56+'4.Personnel'!J66))</f>
        <v>#REF!</v>
      </c>
      <c r="J83" s="225" t="e">
        <f>IF(J79/('4.Personnel'!K6+'4.Personnel'!K16+'4.Personnel'!K36+'4.Personnel'!K46+'4.Personnel'!K56+'4.Personnel'!K66)&lt;0,"n.a",J79/('4.Personnel'!K6+'4.Personnel'!K16+'4.Personnel'!K36+'4.Personnel'!K46+'4.Personnel'!K56+'4.Personnel'!K66))</f>
        <v>#REF!</v>
      </c>
      <c r="K83" s="225" t="e">
        <f>IF(K79/('4.Personnel'!L6+'4.Personnel'!L16+'4.Personnel'!L36+'4.Personnel'!L46+'4.Personnel'!L56+'4.Personnel'!L66)&lt;0,"n.a",K79/('4.Personnel'!L6+'4.Personnel'!L16+'4.Personnel'!L36+'4.Personnel'!L46+'4.Personnel'!L56+'4.Personnel'!L66))</f>
        <v>#REF!</v>
      </c>
      <c r="L83" s="225" t="e">
        <f>IF(L79/('4.Personnel'!M6+'4.Personnel'!M16+'4.Personnel'!M36+'4.Personnel'!M46+'4.Personnel'!M56+'4.Personnel'!M66)&lt;0,"n.a",L79/('4.Personnel'!M6+'4.Personnel'!M16+'4.Personnel'!M36+'4.Personnel'!M46+'4.Personnel'!M56+'4.Personnel'!M66))</f>
        <v>#REF!</v>
      </c>
      <c r="M83" s="225" t="e">
        <f>IF(M79/('4.Personnel'!N6+'4.Personnel'!N16+'4.Personnel'!N36+'4.Personnel'!N46+'4.Personnel'!N56+'4.Personnel'!N66)&lt;0,"n.a",M79/('4.Personnel'!N6+'4.Personnel'!N16+'4.Personnel'!N36+'4.Personnel'!N46+'4.Personnel'!N56+'4.Personnel'!N66))</f>
        <v>#REF!</v>
      </c>
      <c r="N83" s="225" t="e">
        <f>IF(N79/('4.Personnel'!O6+'4.Personnel'!O16+'4.Personnel'!O36+'4.Personnel'!O46+'4.Personnel'!O56+'4.Personnel'!O66)&lt;0,"n.a",N79/('4.Personnel'!O6+'4.Personnel'!O16+'4.Personnel'!O36+'4.Personnel'!O46+'4.Personnel'!O56+'4.Personnel'!O66))</f>
        <v>#REF!</v>
      </c>
    </row>
    <row r="84" spans="1:14" x14ac:dyDescent="0.2">
      <c r="D84" s="152"/>
    </row>
  </sheetData>
  <pageMargins left="0.74803149606299213" right="0.74803149606299213" top="0.98425196850393704" bottom="0.98425196850393704" header="0.51181102362204722" footer="0.51181102362204722"/>
  <pageSetup paperSize="9" scale="65"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pageSetUpPr fitToPage="1"/>
  </sheetPr>
  <dimension ref="A1:AF126"/>
  <sheetViews>
    <sheetView showGridLines="0" zoomScaleNormal="100" workbookViewId="0">
      <pane xSplit="1" ySplit="6" topLeftCell="B7" activePane="bottomRight" state="frozen"/>
      <selection pane="topRight" activeCell="C1" sqref="C1"/>
      <selection pane="bottomLeft" activeCell="A7" sqref="A7"/>
      <selection pane="bottomRight" activeCell="K23" sqref="K23"/>
    </sheetView>
  </sheetViews>
  <sheetFormatPr defaultRowHeight="11.4" x14ac:dyDescent="0.2"/>
  <cols>
    <col min="1" max="1" width="44.875" customWidth="1"/>
    <col min="2" max="2" width="9" customWidth="1"/>
    <col min="3" max="3" width="13" customWidth="1"/>
    <col min="4" max="4" width="11" customWidth="1"/>
    <col min="5" max="5" width="10.625" customWidth="1"/>
    <col min="6" max="6" width="12" bestFit="1" customWidth="1"/>
    <col min="7" max="7" width="15.125" bestFit="1" customWidth="1"/>
    <col min="8" max="8" width="16.125" customWidth="1"/>
    <col min="9" max="9" width="16.375" customWidth="1"/>
    <col min="10" max="10" width="17" customWidth="1"/>
    <col min="11" max="11" width="15.875" customWidth="1"/>
  </cols>
  <sheetData>
    <row r="1" spans="1:32" ht="15" x14ac:dyDescent="0.25">
      <c r="A1" s="27"/>
      <c r="B1" s="16"/>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t="15.6" x14ac:dyDescent="0.3">
      <c r="A2" s="28" t="s">
        <v>170</v>
      </c>
      <c r="B2" s="15"/>
      <c r="C2" s="14"/>
      <c r="D2" s="14"/>
      <c r="E2" s="13"/>
      <c r="F2" s="12">
        <v>2021</v>
      </c>
      <c r="G2" s="12">
        <f>+F2+1</f>
        <v>2022</v>
      </c>
      <c r="H2" s="12">
        <f>+G2+1</f>
        <v>2023</v>
      </c>
      <c r="I2" s="12">
        <f>+H2+1</f>
        <v>2024</v>
      </c>
      <c r="J2" s="12">
        <f>+I2+1</f>
        <v>2025</v>
      </c>
      <c r="K2" s="12">
        <f>+J2+1</f>
        <v>2026</v>
      </c>
      <c r="L2" s="11"/>
      <c r="M2" s="11"/>
      <c r="N2" s="11"/>
      <c r="O2" s="11"/>
      <c r="P2" s="11"/>
      <c r="Q2" s="11"/>
      <c r="R2" s="9"/>
      <c r="S2" s="9"/>
      <c r="T2" s="9"/>
      <c r="U2" s="9"/>
      <c r="V2" s="9"/>
      <c r="W2" s="9"/>
      <c r="X2" s="9"/>
      <c r="Y2" s="9"/>
      <c r="Z2" s="9"/>
      <c r="AA2" s="9"/>
      <c r="AB2" s="9"/>
      <c r="AC2" s="9"/>
      <c r="AD2" s="9"/>
      <c r="AE2" s="9"/>
      <c r="AF2" s="9"/>
    </row>
    <row r="3" spans="1:32" x14ac:dyDescent="0.2">
      <c r="A3" s="29" t="str">
        <f>+A2</f>
        <v>Computations 2</v>
      </c>
      <c r="E3" s="8"/>
      <c r="F3" s="7"/>
      <c r="G3" s="7"/>
      <c r="H3" s="7"/>
      <c r="I3" s="7"/>
      <c r="J3" s="7"/>
      <c r="K3" s="7"/>
      <c r="L3" s="7"/>
      <c r="M3" s="7"/>
      <c r="N3" s="7"/>
      <c r="O3" s="7"/>
      <c r="P3" s="7"/>
      <c r="Q3" s="7"/>
      <c r="R3" s="9"/>
      <c r="S3" s="9"/>
      <c r="T3" s="9"/>
      <c r="U3" s="9"/>
      <c r="V3" s="9"/>
      <c r="W3" s="9"/>
      <c r="X3" s="9"/>
      <c r="Y3" s="9"/>
      <c r="Z3" s="9"/>
      <c r="AA3" s="9"/>
      <c r="AB3" s="9"/>
      <c r="AC3" s="9"/>
      <c r="AD3" s="9"/>
      <c r="AE3" s="9"/>
      <c r="AF3" s="9"/>
    </row>
    <row r="4" spans="1:32" x14ac:dyDescent="0.2">
      <c r="A4" s="30"/>
      <c r="E4" s="8"/>
      <c r="F4" s="7"/>
      <c r="G4" s="7"/>
      <c r="H4" s="7"/>
      <c r="I4" s="7"/>
      <c r="J4" s="7"/>
      <c r="K4" s="7"/>
      <c r="L4" s="7"/>
      <c r="M4" s="7"/>
      <c r="N4" s="7"/>
      <c r="O4" s="7"/>
      <c r="P4" s="7"/>
      <c r="Q4" s="7"/>
    </row>
    <row r="5" spans="1:32" x14ac:dyDescent="0.2">
      <c r="A5" s="31"/>
      <c r="E5" s="8"/>
      <c r="F5" s="10"/>
      <c r="G5" s="10"/>
      <c r="H5" s="10"/>
      <c r="I5" s="10"/>
      <c r="J5" s="10"/>
      <c r="K5" s="10"/>
      <c r="L5" s="10"/>
      <c r="M5" s="10"/>
      <c r="N5" s="10"/>
      <c r="O5" s="10"/>
      <c r="P5" s="10"/>
      <c r="Q5" s="10"/>
    </row>
    <row r="6" spans="1:32" x14ac:dyDescent="0.2">
      <c r="A6" s="32" t="s">
        <v>382</v>
      </c>
      <c r="E6" s="8"/>
      <c r="F6" s="10"/>
      <c r="G6" s="10"/>
      <c r="H6" s="10"/>
      <c r="I6" s="10"/>
      <c r="J6" s="10"/>
      <c r="K6" s="10"/>
      <c r="L6" s="10"/>
      <c r="M6" s="10"/>
      <c r="N6" s="10"/>
      <c r="O6" s="10"/>
      <c r="P6" s="10"/>
      <c r="Q6" s="10"/>
      <c r="R6" s="9"/>
      <c r="S6" s="9"/>
      <c r="T6" s="9"/>
      <c r="U6" s="9"/>
      <c r="V6" s="9"/>
      <c r="W6" s="9"/>
      <c r="X6" s="9"/>
      <c r="Y6" s="9"/>
      <c r="Z6" s="9"/>
      <c r="AA6" s="9"/>
      <c r="AB6" s="9"/>
      <c r="AC6" s="9"/>
      <c r="AD6" s="9"/>
      <c r="AE6" s="9"/>
      <c r="AF6" s="9"/>
    </row>
    <row r="7" spans="1:32" x14ac:dyDescent="0.2">
      <c r="A7" s="32" t="s">
        <v>381</v>
      </c>
      <c r="E7" s="8"/>
      <c r="F7" s="7"/>
      <c r="G7" s="7"/>
      <c r="H7" s="7"/>
      <c r="I7" s="7"/>
      <c r="J7" s="7"/>
      <c r="K7" s="7"/>
      <c r="L7" s="7"/>
      <c r="M7" s="7"/>
      <c r="N7" s="7"/>
      <c r="O7" s="7"/>
      <c r="P7" s="7"/>
      <c r="Q7" s="7"/>
      <c r="R7" s="9"/>
      <c r="S7" s="9"/>
      <c r="T7" s="9"/>
      <c r="U7" s="9"/>
      <c r="V7" s="9"/>
      <c r="W7" s="9"/>
      <c r="X7" s="9"/>
      <c r="Y7" s="9"/>
      <c r="Z7" s="9"/>
      <c r="AA7" s="9"/>
      <c r="AB7" s="9"/>
      <c r="AC7" s="9"/>
      <c r="AD7" s="9"/>
      <c r="AE7" s="9"/>
      <c r="AF7" s="9"/>
    </row>
    <row r="8" spans="1:32" x14ac:dyDescent="0.2">
      <c r="E8" s="8"/>
      <c r="F8" s="7"/>
      <c r="G8" s="7"/>
      <c r="H8" s="7"/>
      <c r="I8" s="7"/>
      <c r="J8" s="7"/>
      <c r="K8" s="7"/>
      <c r="L8" s="7"/>
      <c r="M8" s="7"/>
      <c r="N8" s="7"/>
      <c r="O8" s="7"/>
      <c r="P8" s="7"/>
      <c r="Q8" s="7"/>
      <c r="R8" s="9"/>
      <c r="S8" s="9"/>
      <c r="T8" s="9"/>
      <c r="U8" s="9"/>
      <c r="V8" s="9"/>
      <c r="W8" s="9"/>
      <c r="X8" s="9"/>
      <c r="Y8" s="9"/>
      <c r="Z8" s="9"/>
      <c r="AA8" s="9"/>
      <c r="AB8" s="9"/>
      <c r="AC8" s="9"/>
      <c r="AD8" s="9"/>
      <c r="AE8" s="9"/>
      <c r="AF8" s="9"/>
    </row>
    <row r="9" spans="1:32" x14ac:dyDescent="0.2">
      <c r="E9" s="8"/>
      <c r="F9" s="7"/>
      <c r="G9" s="7"/>
      <c r="H9" s="7"/>
      <c r="I9" s="7"/>
      <c r="J9" s="7"/>
      <c r="K9" s="7"/>
      <c r="L9" s="7"/>
      <c r="M9" s="7"/>
      <c r="N9" s="7"/>
      <c r="O9" s="7"/>
      <c r="P9" s="7"/>
      <c r="Q9" s="7"/>
    </row>
    <row r="11" spans="1:32" x14ac:dyDescent="0.2">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row>
    <row r="12" spans="1:32" ht="15" x14ac:dyDescent="0.2">
      <c r="A12" s="26" t="s">
        <v>106</v>
      </c>
      <c r="B12" s="33"/>
      <c r="C12" s="33"/>
      <c r="D12" s="33"/>
      <c r="E12" s="33"/>
      <c r="F12" s="33"/>
      <c r="G12" s="33"/>
      <c r="H12" s="33"/>
      <c r="I12" s="33"/>
      <c r="J12" s="33"/>
      <c r="K12" s="33"/>
    </row>
    <row r="13" spans="1:32" x14ac:dyDescent="0.2">
      <c r="E13" s="6"/>
      <c r="F13" s="6"/>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2">
      <c r="A14" s="4"/>
      <c r="E14" s="2"/>
      <c r="F14" s="2"/>
    </row>
    <row r="15" spans="1:32" ht="12" x14ac:dyDescent="0.25">
      <c r="A15" s="20" t="s">
        <v>187</v>
      </c>
      <c r="F15" s="22">
        <f>+'Computations 1'!G13</f>
        <v>618333.33333333349</v>
      </c>
      <c r="G15" s="22">
        <f>+'Computations 1'!H13</f>
        <v>15868382.260191355</v>
      </c>
      <c r="H15" s="22">
        <f>+'Computations 1'!I13</f>
        <v>82763830.721210986</v>
      </c>
      <c r="I15" s="22">
        <f>+'Computations 1'!J13</f>
        <v>189014250.59499994</v>
      </c>
      <c r="J15" s="22">
        <f>+'Computations 1'!K13</f>
        <v>285641648.76089346</v>
      </c>
      <c r="K15" s="22">
        <f>+'Computations 1'!L13</f>
        <v>394048244.62473941</v>
      </c>
    </row>
    <row r="17" spans="1:11" ht="15" x14ac:dyDescent="0.2">
      <c r="A17" s="26" t="s">
        <v>172</v>
      </c>
      <c r="B17" s="33"/>
      <c r="C17" s="33"/>
      <c r="D17" s="33"/>
      <c r="E17" s="33"/>
      <c r="F17" s="33"/>
      <c r="G17" s="33"/>
      <c r="H17" s="33"/>
      <c r="I17" s="33"/>
      <c r="J17" s="33"/>
      <c r="K17" s="33"/>
    </row>
    <row r="19" spans="1:11" ht="12" x14ac:dyDescent="0.25">
      <c r="A19" s="19" t="s">
        <v>142</v>
      </c>
      <c r="F19" s="65">
        <f>-'Computations 1'!G18</f>
        <v>-1120000</v>
      </c>
      <c r="G19" s="65">
        <f>-'Computations 1'!H18</f>
        <v>-6667390.1888599508</v>
      </c>
      <c r="H19" s="65">
        <f>-'Computations 1'!I18</f>
        <v>-17927382.362499457</v>
      </c>
      <c r="I19" s="65">
        <f>-'Computations 1'!J18</f>
        <v>-30887841.47425963</v>
      </c>
      <c r="J19" s="65">
        <f>-'Computations 1'!K18</f>
        <v>-41141595.692903236</v>
      </c>
      <c r="K19" s="65">
        <f>-'Computations 1'!L18</f>
        <v>-47664718.743284121</v>
      </c>
    </row>
    <row r="20" spans="1:11" x14ac:dyDescent="0.2">
      <c r="E20" s="2"/>
      <c r="F20" s="65"/>
      <c r="G20" s="65"/>
      <c r="H20" s="65"/>
      <c r="I20" s="65"/>
      <c r="J20" s="65"/>
      <c r="K20" s="65"/>
    </row>
    <row r="21" spans="1:11" ht="12" x14ac:dyDescent="0.25">
      <c r="A21" s="19"/>
      <c r="F21" s="96"/>
    </row>
    <row r="22" spans="1:11" ht="12" x14ac:dyDescent="0.25">
      <c r="A22" s="19" t="s">
        <v>143</v>
      </c>
      <c r="F22" s="65">
        <f>-'Computations 1'!G23</f>
        <v>-30000</v>
      </c>
      <c r="G22" s="65">
        <f>-'Computations 1'!H23</f>
        <v>-2575000</v>
      </c>
      <c r="H22" s="65">
        <f>-'Computations 1'!I23</f>
        <v>-4050485.5024104808</v>
      </c>
      <c r="I22" s="65">
        <f>-'Computations 1'!J23</f>
        <v>-7405170.9180148393</v>
      </c>
      <c r="J22" s="65">
        <f>-'Computations 1'!K23</f>
        <v>-14134276.786157187</v>
      </c>
      <c r="K22" s="65">
        <f>-'Computations 1'!L23</f>
        <v>-25204993.227331735</v>
      </c>
    </row>
    <row r="23" spans="1:11" ht="12" x14ac:dyDescent="0.25">
      <c r="A23" s="19" t="s">
        <v>205</v>
      </c>
      <c r="F23" s="65">
        <f ca="1">' Cash Flow Statement'!B51*'Computations 2'!F116</f>
        <v>0</v>
      </c>
      <c r="G23" s="65">
        <f ca="1">' Cash Flow Statement'!C51*'Computations 2'!G116</f>
        <v>0</v>
      </c>
      <c r="H23" s="65">
        <f ca="1">' Cash Flow Statement'!D51*'Computations 2'!H116</f>
        <v>-2219310.2414760413</v>
      </c>
      <c r="I23" s="65">
        <f ca="1">' Cash Flow Statement'!E51*'Computations 2'!I116</f>
        <v>-16670610.724712022</v>
      </c>
      <c r="J23" s="65">
        <f ca="1">' Cash Flow Statement'!F51*'Computations 2'!J116</f>
        <v>-30819548.051960137</v>
      </c>
      <c r="K23" s="65">
        <f ca="1">' Cash Flow Statement'!G51*'Computations 2'!K116</f>
        <v>-50437523.40297132</v>
      </c>
    </row>
    <row r="24" spans="1:11" x14ac:dyDescent="0.2">
      <c r="F24" s="96"/>
    </row>
    <row r="25" spans="1:11" ht="12" x14ac:dyDescent="0.25">
      <c r="A25" s="19" t="s">
        <v>144</v>
      </c>
      <c r="F25" s="65">
        <f>-'Computations 1'!G30</f>
        <v>-23000</v>
      </c>
      <c r="G25" s="65">
        <f>-'Computations 1'!H30</f>
        <v>-1412188.7419585907</v>
      </c>
      <c r="H25" s="65">
        <f>-'Computations 1'!I30</f>
        <v>-7192176.8896732349</v>
      </c>
      <c r="I25" s="65">
        <f>-'Computations 1'!J30</f>
        <v>-16425338.376705496</v>
      </c>
      <c r="J25" s="65">
        <f>-'Computations 1'!K30</f>
        <v>-19109426.302103773</v>
      </c>
      <c r="K25" s="65">
        <f>-'Computations 1'!L30</f>
        <v>-26361827.565395068</v>
      </c>
    </row>
    <row r="26" spans="1:11" ht="12" x14ac:dyDescent="0.25">
      <c r="A26" s="19" t="s">
        <v>66</v>
      </c>
      <c r="E26" s="21"/>
      <c r="F26" s="125">
        <f>-'Computations 1'!G37</f>
        <v>0</v>
      </c>
      <c r="G26" s="65">
        <f>-'Computations 1'!H37</f>
        <v>-15868.382260191354</v>
      </c>
      <c r="H26" s="65">
        <f>-'Computations 1'!I37</f>
        <v>-82763.830721210994</v>
      </c>
      <c r="I26" s="65">
        <f>-'Computations 1'!J37</f>
        <v>-189014.25059499993</v>
      </c>
      <c r="J26" s="65">
        <f>-'Computations 1'!K37</f>
        <v>-285641.6487608935</v>
      </c>
      <c r="K26" s="65">
        <f>-'Computations 1'!L37</f>
        <v>-394048.2446247394</v>
      </c>
    </row>
    <row r="27" spans="1:11" x14ac:dyDescent="0.2">
      <c r="F27" s="96"/>
    </row>
    <row r="28" spans="1:11" x14ac:dyDescent="0.2">
      <c r="A28" s="5" t="s">
        <v>114</v>
      </c>
      <c r="F28" s="65">
        <f t="shared" ref="F28:K28" si="0">F71+F75</f>
        <v>-51473.333333333336</v>
      </c>
      <c r="G28" s="65">
        <f t="shared" si="0"/>
        <v>-162536.96022781479</v>
      </c>
      <c r="H28" s="65">
        <f t="shared" ca="1" si="0"/>
        <v>-3932556.2655754923</v>
      </c>
      <c r="I28" s="65">
        <f t="shared" ca="1" si="0"/>
        <v>-4303749.7209465895</v>
      </c>
      <c r="J28" s="65">
        <f t="shared" ca="1" si="0"/>
        <v>-4624320.6545708533</v>
      </c>
      <c r="K28" s="65">
        <f t="shared" ca="1" si="0"/>
        <v>-5071589.2961296663</v>
      </c>
    </row>
    <row r="30" spans="1:11" ht="12" x14ac:dyDescent="0.25">
      <c r="A30" s="5" t="s">
        <v>162</v>
      </c>
      <c r="D30" s="94">
        <v>0.05</v>
      </c>
      <c r="F30">
        <f ca="1">IF(' Cash Flow Statement'!B51&gt;0,-' Cash Flow Statement'!B51*'Computations 2'!$D$30,0)</f>
        <v>0</v>
      </c>
      <c r="G30">
        <f ca="1">IF(' Cash Flow Statement'!C51&gt;0,-' Cash Flow Statement'!C51*'Computations 2'!$D$30,0)</f>
        <v>0</v>
      </c>
      <c r="H30">
        <f ca="1">IF(' Cash Flow Statement'!D51&gt;0,-' Cash Flow Statement'!D51*'Computations 2'!$D$30,0)</f>
        <v>0</v>
      </c>
      <c r="I30">
        <f ca="1">IF(' Cash Flow Statement'!E51&gt;0,-' Cash Flow Statement'!E51*'Computations 2'!$D$30,0)</f>
        <v>0</v>
      </c>
      <c r="J30">
        <f ca="1">IF(' Cash Flow Statement'!F51&gt;0,-' Cash Flow Statement'!F51*'Computations 2'!$D$30,0)</f>
        <v>0</v>
      </c>
      <c r="K30">
        <f ca="1">IF(' Cash Flow Statement'!G51&gt;0,-' Cash Flow Statement'!G51*'Computations 2'!$D$30,0)</f>
        <v>0</v>
      </c>
    </row>
    <row r="32" spans="1:11" ht="12" x14ac:dyDescent="0.25">
      <c r="A32" s="19" t="s">
        <v>145</v>
      </c>
      <c r="F32" s="96">
        <f>-('Computations 1'!G42)</f>
        <v>0</v>
      </c>
      <c r="G32" s="96">
        <f>-('Computations 1'!H42)</f>
        <v>0</v>
      </c>
      <c r="H32" s="96">
        <f>-('Computations 1'!I42)</f>
        <v>0</v>
      </c>
      <c r="I32" s="96">
        <f>-('Computations 1'!J42)</f>
        <v>0</v>
      </c>
      <c r="J32" s="96">
        <f>-('Computations 1'!K42)</f>
        <v>0</v>
      </c>
      <c r="K32" s="96">
        <f>-('Computations 1'!L42)</f>
        <v>0</v>
      </c>
    </row>
    <row r="35" spans="1:11" ht="12" x14ac:dyDescent="0.25">
      <c r="A35" s="19" t="s">
        <v>112</v>
      </c>
    </row>
    <row r="37" spans="1:11" ht="12" x14ac:dyDescent="0.25">
      <c r="A37" s="213" t="s">
        <v>18</v>
      </c>
    </row>
    <row r="38" spans="1:11" x14ac:dyDescent="0.2">
      <c r="A38" s="212" t="s">
        <v>147</v>
      </c>
      <c r="G38" s="82"/>
    </row>
    <row r="39" spans="1:11" s="19" customFormat="1" ht="12" x14ac:dyDescent="0.25">
      <c r="A39" s="213" t="s">
        <v>148</v>
      </c>
      <c r="F39" s="84">
        <f ca="1">'Profit &amp; Loss Account'!B73</f>
        <v>-613063.63926940633</v>
      </c>
      <c r="G39" s="84">
        <f ca="1">'Profit &amp; Loss Account'!C73</f>
        <v>6106333.7469700165</v>
      </c>
      <c r="H39" s="84">
        <f ca="1">'Profit &amp; Loss Account'!D73</f>
        <v>52182134.564156331</v>
      </c>
      <c r="I39" s="84">
        <f ca="1">'Profit &amp; Loss Account'!E73</f>
        <v>123765954.96349953</v>
      </c>
      <c r="J39" s="84">
        <f ca="1">'Profit &amp; Loss Account'!F73</f>
        <v>191542275.23814866</v>
      </c>
      <c r="K39" s="84">
        <f ca="1">'Profit &amp; Loss Account'!G73</f>
        <v>258393989.00987837</v>
      </c>
    </row>
    <row r="40" spans="1:11" s="19" customFormat="1" ht="12" x14ac:dyDescent="0.25">
      <c r="A40" s="212" t="s">
        <v>149</v>
      </c>
      <c r="F40" s="84">
        <f t="shared" ref="F40:K40" si="1">E40+E41-E42</f>
        <v>0</v>
      </c>
      <c r="G40" s="84">
        <f t="shared" ca="1" si="1"/>
        <v>0</v>
      </c>
      <c r="H40" s="84">
        <f t="shared" ca="1" si="1"/>
        <v>0</v>
      </c>
      <c r="I40" s="84">
        <f t="shared" ca="1" si="1"/>
        <v>0</v>
      </c>
      <c r="J40" s="84">
        <f t="shared" ca="1" si="1"/>
        <v>0</v>
      </c>
      <c r="K40" s="84">
        <f t="shared" ca="1" si="1"/>
        <v>0</v>
      </c>
    </row>
    <row r="41" spans="1:11" s="19" customFormat="1" ht="12" x14ac:dyDescent="0.25">
      <c r="A41" s="212" t="s">
        <v>165</v>
      </c>
      <c r="F41" s="84">
        <f t="shared" ref="F41:K41" si="2">+IF(-E61&lt;0,-E61,0)</f>
        <v>0</v>
      </c>
      <c r="G41" s="84">
        <f t="shared" ca="1" si="2"/>
        <v>-171623.94627397257</v>
      </c>
      <c r="H41" s="84">
        <f t="shared" ca="1" si="2"/>
        <v>0</v>
      </c>
      <c r="I41" s="84">
        <f t="shared" ca="1" si="2"/>
        <v>0</v>
      </c>
      <c r="J41" s="84">
        <f t="shared" ca="1" si="2"/>
        <v>0</v>
      </c>
      <c r="K41" s="84">
        <f t="shared" ca="1" si="2"/>
        <v>0</v>
      </c>
    </row>
    <row r="42" spans="1:11" s="19" customFormat="1" ht="12" x14ac:dyDescent="0.25">
      <c r="A42" s="212" t="s">
        <v>150</v>
      </c>
      <c r="F42" s="84">
        <f t="shared" ref="F42:K42" ca="1" si="3">IF(F1&lt;=3,IF(F39&lt;=0,0,IF(F39&lt;=-(F40+F41),-F39,F40+F41)),(IF(F39&lt;=0,0,IF(F39&lt;=-(F40+F41),-F39,F40+F41)))*80%)</f>
        <v>0</v>
      </c>
      <c r="G42" s="84">
        <f t="shared" ca="1" si="3"/>
        <v>-171623.94627397257</v>
      </c>
      <c r="H42" s="84">
        <f t="shared" ca="1" si="3"/>
        <v>0</v>
      </c>
      <c r="I42" s="84">
        <f t="shared" ca="1" si="3"/>
        <v>0</v>
      </c>
      <c r="J42" s="84">
        <f t="shared" ca="1" si="3"/>
        <v>0</v>
      </c>
      <c r="K42" s="84">
        <f t="shared" ca="1" si="3"/>
        <v>0</v>
      </c>
    </row>
    <row r="43" spans="1:11" s="19" customFormat="1" ht="12" x14ac:dyDescent="0.25">
      <c r="A43" s="213" t="s">
        <v>151</v>
      </c>
      <c r="F43" s="66">
        <f t="shared" ref="F43:K43" ca="1" si="4">IF(F39&lt;=0,F39,+F39+F42)</f>
        <v>-613063.63926940633</v>
      </c>
      <c r="G43" s="66">
        <f t="shared" ca="1" si="4"/>
        <v>5934709.8006960442</v>
      </c>
      <c r="H43" s="66">
        <f t="shared" ca="1" si="4"/>
        <v>52182134.564156331</v>
      </c>
      <c r="I43" s="66">
        <f t="shared" ca="1" si="4"/>
        <v>123765954.96349953</v>
      </c>
      <c r="J43" s="66">
        <f t="shared" ca="1" si="4"/>
        <v>191542275.23814866</v>
      </c>
      <c r="K43" s="66">
        <f t="shared" ca="1" si="4"/>
        <v>258393989.00987837</v>
      </c>
    </row>
    <row r="44" spans="1:11" s="19" customFormat="1" ht="12" x14ac:dyDescent="0.25">
      <c r="A44" s="213"/>
      <c r="F44" s="66"/>
      <c r="G44" s="66"/>
      <c r="H44" s="66"/>
      <c r="I44" s="66"/>
      <c r="J44" s="66"/>
      <c r="K44" s="66"/>
    </row>
    <row r="45" spans="1:11" x14ac:dyDescent="0.2">
      <c r="A45" s="211" t="s">
        <v>152</v>
      </c>
      <c r="F45" s="76">
        <v>0.24</v>
      </c>
      <c r="G45" s="215">
        <f>F45</f>
        <v>0.24</v>
      </c>
      <c r="H45" s="215">
        <f>G45</f>
        <v>0.24</v>
      </c>
      <c r="I45" s="215">
        <f>H45</f>
        <v>0.24</v>
      </c>
      <c r="J45" s="215">
        <f>I45</f>
        <v>0.24</v>
      </c>
      <c r="K45" s="215">
        <f>J45</f>
        <v>0.24</v>
      </c>
    </row>
    <row r="46" spans="1:11" s="19" customFormat="1" ht="12" x14ac:dyDescent="0.25">
      <c r="A46" s="213" t="s">
        <v>163</v>
      </c>
      <c r="F46" s="66">
        <f t="shared" ref="F46:K46" ca="1" si="5">F45*F43</f>
        <v>-147135.2734246575</v>
      </c>
      <c r="G46" s="66">
        <f ca="1">G45*G43</f>
        <v>1424330.3521670506</v>
      </c>
      <c r="H46" s="66">
        <f t="shared" ca="1" si="5"/>
        <v>12523712.295397518</v>
      </c>
      <c r="I46" s="66">
        <f t="shared" ca="1" si="5"/>
        <v>29703829.191239886</v>
      </c>
      <c r="J46" s="66">
        <f t="shared" ca="1" si="5"/>
        <v>45970146.057155676</v>
      </c>
      <c r="K46" s="66">
        <f t="shared" ca="1" si="5"/>
        <v>62014557.362370804</v>
      </c>
    </row>
    <row r="48" spans="1:11" ht="12" x14ac:dyDescent="0.25">
      <c r="A48" s="213" t="s">
        <v>19</v>
      </c>
    </row>
    <row r="49" spans="1:11" x14ac:dyDescent="0.2">
      <c r="A49" s="212" t="s">
        <v>147</v>
      </c>
      <c r="F49" s="65">
        <f ca="1">'Profit &amp; Loss Account'!B73</f>
        <v>-613063.63926940633</v>
      </c>
      <c r="G49" s="65">
        <f ca="1">'Profit &amp; Loss Account'!C73</f>
        <v>6106333.7469700165</v>
      </c>
      <c r="H49" s="65">
        <f ca="1">'Profit &amp; Loss Account'!D73</f>
        <v>52182134.564156331</v>
      </c>
      <c r="I49" s="65">
        <f ca="1">'Profit &amp; Loss Account'!E73</f>
        <v>123765954.96349953</v>
      </c>
      <c r="J49" s="65">
        <f ca="1">'Profit &amp; Loss Account'!F73</f>
        <v>191542275.23814866</v>
      </c>
      <c r="K49" s="65">
        <f ca="1">'Profit &amp; Loss Account'!G73</f>
        <v>258393989.00987837</v>
      </c>
    </row>
    <row r="50" spans="1:11" x14ac:dyDescent="0.2">
      <c r="A50" s="212" t="s">
        <v>162</v>
      </c>
      <c r="F50" s="125">
        <f ca="1">-'Profit &amp; Loss Account'!B69</f>
        <v>0</v>
      </c>
      <c r="G50" s="125">
        <f ca="1">-'Profit &amp; Loss Account'!C69</f>
        <v>0</v>
      </c>
      <c r="H50" s="125">
        <f ca="1">-'Profit &amp; Loss Account'!D69</f>
        <v>0</v>
      </c>
      <c r="I50" s="125">
        <f ca="1">-'Profit &amp; Loss Account'!E69</f>
        <v>0</v>
      </c>
      <c r="J50" s="125">
        <f ca="1">-'Profit &amp; Loss Account'!F69</f>
        <v>0</v>
      </c>
      <c r="K50" s="125">
        <f ca="1">-'Profit &amp; Loss Account'!G69</f>
        <v>0</v>
      </c>
    </row>
    <row r="51" spans="1:11" x14ac:dyDescent="0.2">
      <c r="A51" s="212" t="s">
        <v>143</v>
      </c>
      <c r="F51" s="147">
        <f t="shared" ref="F51:K51" si="6">-(F22)</f>
        <v>30000</v>
      </c>
      <c r="G51" s="65">
        <f t="shared" si="6"/>
        <v>2575000</v>
      </c>
      <c r="H51" s="65">
        <f t="shared" si="6"/>
        <v>4050485.5024104808</v>
      </c>
      <c r="I51" s="65">
        <f t="shared" si="6"/>
        <v>7405170.9180148393</v>
      </c>
      <c r="J51" s="65">
        <f t="shared" si="6"/>
        <v>14134276.786157187</v>
      </c>
      <c r="K51" s="65">
        <f t="shared" si="6"/>
        <v>25204993.227331735</v>
      </c>
    </row>
    <row r="52" spans="1:11" s="19" customFormat="1" ht="12" x14ac:dyDescent="0.25">
      <c r="A52" s="213" t="s">
        <v>153</v>
      </c>
      <c r="F52" s="66">
        <f t="shared" ref="F52:K52" ca="1" si="7">SUM(F49:F51)</f>
        <v>-583063.63926940633</v>
      </c>
      <c r="G52" s="66">
        <f t="shared" ca="1" si="7"/>
        <v>8681333.7469700165</v>
      </c>
      <c r="H52" s="66">
        <f t="shared" ca="1" si="7"/>
        <v>56232620.06656681</v>
      </c>
      <c r="I52" s="66">
        <f t="shared" ca="1" si="7"/>
        <v>131171125.88151437</v>
      </c>
      <c r="J52" s="66">
        <f t="shared" ca="1" si="7"/>
        <v>205676552.02430585</v>
      </c>
      <c r="K52" s="66">
        <f t="shared" ca="1" si="7"/>
        <v>283598982.23721009</v>
      </c>
    </row>
    <row r="53" spans="1:11" x14ac:dyDescent="0.2">
      <c r="A53" s="211" t="s">
        <v>154</v>
      </c>
      <c r="F53" s="216">
        <v>4.2000000000000003E-2</v>
      </c>
      <c r="G53" s="217">
        <f>F53</f>
        <v>4.2000000000000003E-2</v>
      </c>
      <c r="H53" s="217">
        <f>G53</f>
        <v>4.2000000000000003E-2</v>
      </c>
      <c r="I53" s="217">
        <f>H53</f>
        <v>4.2000000000000003E-2</v>
      </c>
      <c r="J53" s="217">
        <f>I53</f>
        <v>4.2000000000000003E-2</v>
      </c>
      <c r="K53" s="217">
        <f>J53</f>
        <v>4.2000000000000003E-2</v>
      </c>
    </row>
    <row r="54" spans="1:11" ht="12" x14ac:dyDescent="0.25">
      <c r="A54" s="213" t="s">
        <v>164</v>
      </c>
      <c r="B54" s="19"/>
      <c r="F54" s="66">
        <f t="shared" ref="F54:K54" ca="1" si="8">F53*F52</f>
        <v>-24488.672849315066</v>
      </c>
      <c r="G54" s="66">
        <f t="shared" ca="1" si="8"/>
        <v>364616.01737274072</v>
      </c>
      <c r="H54" s="66">
        <f t="shared" ca="1" si="8"/>
        <v>2361770.0427958062</v>
      </c>
      <c r="I54" s="66">
        <f t="shared" ca="1" si="8"/>
        <v>5509187.2870236039</v>
      </c>
      <c r="J54" s="66">
        <f t="shared" ca="1" si="8"/>
        <v>8638415.1850208454</v>
      </c>
      <c r="K54" s="66">
        <f t="shared" ca="1" si="8"/>
        <v>11911157.253962824</v>
      </c>
    </row>
    <row r="56" spans="1:11" ht="12" x14ac:dyDescent="0.25">
      <c r="A56" s="213" t="s">
        <v>155</v>
      </c>
      <c r="B56" s="19"/>
      <c r="F56" s="66">
        <f t="shared" ref="F56:K56" ca="1" si="9">+F46+F54</f>
        <v>-171623.94627397257</v>
      </c>
      <c r="G56" s="66">
        <f t="shared" ca="1" si="9"/>
        <v>1788946.3695397913</v>
      </c>
      <c r="H56" s="66">
        <f t="shared" ca="1" si="9"/>
        <v>14885482.338193323</v>
      </c>
      <c r="I56" s="66">
        <f t="shared" ca="1" si="9"/>
        <v>35213016.47826349</v>
      </c>
      <c r="J56" s="66">
        <f t="shared" ca="1" si="9"/>
        <v>54608561.242176518</v>
      </c>
      <c r="K56" s="66">
        <f t="shared" ca="1" si="9"/>
        <v>73925714.616333634</v>
      </c>
    </row>
    <row r="57" spans="1:11" x14ac:dyDescent="0.2">
      <c r="A57" s="212" t="s">
        <v>156</v>
      </c>
      <c r="F57" s="65">
        <f t="shared" ref="F57:K57" si="10">IF(E56&lt;=0,0,-E56)</f>
        <v>0</v>
      </c>
      <c r="G57" s="65">
        <f t="shared" ca="1" si="10"/>
        <v>0</v>
      </c>
      <c r="H57" s="65">
        <f t="shared" ca="1" si="10"/>
        <v>-1788946.3695397913</v>
      </c>
      <c r="I57" s="65">
        <f t="shared" ca="1" si="10"/>
        <v>-14885482.338193323</v>
      </c>
      <c r="J57" s="65">
        <f t="shared" ca="1" si="10"/>
        <v>-35213016.47826349</v>
      </c>
      <c r="K57" s="65">
        <f t="shared" ca="1" si="10"/>
        <v>-54608561.242176518</v>
      </c>
    </row>
    <row r="58" spans="1:11" x14ac:dyDescent="0.2">
      <c r="A58" s="212" t="s">
        <v>157</v>
      </c>
      <c r="F58" s="65">
        <f t="shared" ref="F58:K58" si="11">IF(E56&lt;=0,0,-(E56+E57))</f>
        <v>0</v>
      </c>
      <c r="G58" s="65">
        <f t="shared" ca="1" si="11"/>
        <v>0</v>
      </c>
      <c r="H58" s="65">
        <f t="shared" ca="1" si="11"/>
        <v>-1788946.3695397913</v>
      </c>
      <c r="I58" s="65">
        <f t="shared" ca="1" si="11"/>
        <v>-13096535.968653532</v>
      </c>
      <c r="J58" s="65">
        <f t="shared" ca="1" si="11"/>
        <v>-20327534.140070166</v>
      </c>
      <c r="K58" s="65">
        <f t="shared" ca="1" si="11"/>
        <v>-19395544.763913028</v>
      </c>
    </row>
    <row r="59" spans="1:11" s="19" customFormat="1" ht="12" x14ac:dyDescent="0.25">
      <c r="A59" s="212" t="s">
        <v>158</v>
      </c>
      <c r="F59" s="23">
        <f t="shared" ref="F59:K59" si="12">F58+F57</f>
        <v>0</v>
      </c>
      <c r="G59" s="66">
        <f t="shared" ca="1" si="12"/>
        <v>0</v>
      </c>
      <c r="H59" s="66">
        <f t="shared" ca="1" si="12"/>
        <v>-3577892.7390795825</v>
      </c>
      <c r="I59" s="66">
        <f t="shared" ca="1" si="12"/>
        <v>-27982018.306846857</v>
      </c>
      <c r="J59" s="66">
        <f t="shared" ca="1" si="12"/>
        <v>-55540550.618333653</v>
      </c>
      <c r="K59" s="66">
        <f t="shared" ca="1" si="12"/>
        <v>-74004106.006089538</v>
      </c>
    </row>
    <row r="60" spans="1:11" ht="12" x14ac:dyDescent="0.25">
      <c r="A60" s="213"/>
      <c r="F60" s="23"/>
      <c r="G60" s="23"/>
      <c r="H60" s="23"/>
      <c r="I60" s="23"/>
      <c r="J60" s="23"/>
      <c r="K60" s="23"/>
    </row>
    <row r="61" spans="1:11" s="5" customFormat="1" x14ac:dyDescent="0.2">
      <c r="A61" s="212" t="s">
        <v>159</v>
      </c>
      <c r="B61"/>
      <c r="F61" s="65">
        <f t="shared" ref="F61:K61" ca="1" si="13">-F56</f>
        <v>171623.94627397257</v>
      </c>
      <c r="G61" s="65">
        <f t="shared" ca="1" si="13"/>
        <v>-1788946.3695397913</v>
      </c>
      <c r="H61" s="65">
        <f t="shared" ca="1" si="13"/>
        <v>-14885482.338193323</v>
      </c>
      <c r="I61" s="65">
        <f t="shared" ca="1" si="13"/>
        <v>-35213016.47826349</v>
      </c>
      <c r="J61" s="65">
        <f t="shared" ca="1" si="13"/>
        <v>-54608561.242176518</v>
      </c>
      <c r="K61" s="65">
        <f t="shared" ca="1" si="13"/>
        <v>-73925714.616333634</v>
      </c>
    </row>
    <row r="62" spans="1:11" s="5" customFormat="1" ht="12" x14ac:dyDescent="0.25">
      <c r="A62" s="212" t="s">
        <v>161</v>
      </c>
      <c r="B62"/>
      <c r="F62" s="65">
        <f t="shared" ref="F62:K62" si="14">F59</f>
        <v>0</v>
      </c>
      <c r="G62" s="66">
        <f t="shared" ca="1" si="14"/>
        <v>0</v>
      </c>
      <c r="H62" s="65">
        <f t="shared" ca="1" si="14"/>
        <v>-3577892.7390795825</v>
      </c>
      <c r="I62" s="65">
        <f t="shared" ca="1" si="14"/>
        <v>-27982018.306846857</v>
      </c>
      <c r="J62" s="65">
        <f t="shared" ca="1" si="14"/>
        <v>-55540550.618333653</v>
      </c>
      <c r="K62" s="65">
        <f t="shared" ca="1" si="14"/>
        <v>-74004106.006089538</v>
      </c>
    </row>
    <row r="63" spans="1:11" ht="12" x14ac:dyDescent="0.25">
      <c r="A63" s="213" t="s">
        <v>160</v>
      </c>
      <c r="B63" s="19"/>
      <c r="F63" s="66">
        <f t="shared" ref="F63:K63" ca="1" si="15">F61-F62+E63</f>
        <v>171623.94627397257</v>
      </c>
      <c r="G63" s="66">
        <f t="shared" ca="1" si="15"/>
        <v>-1617322.4232658187</v>
      </c>
      <c r="H63" s="66">
        <f t="shared" ca="1" si="15"/>
        <v>-12924912.022379559</v>
      </c>
      <c r="I63" s="66">
        <f t="shared" ca="1" si="15"/>
        <v>-20155910.193796191</v>
      </c>
      <c r="J63" s="66">
        <f t="shared" ca="1" si="15"/>
        <v>-19223920.817639057</v>
      </c>
      <c r="K63" s="66">
        <f t="shared" ca="1" si="15"/>
        <v>-19145529.427883152</v>
      </c>
    </row>
    <row r="65" spans="1:12" ht="15" x14ac:dyDescent="0.2">
      <c r="A65" s="26" t="s">
        <v>171</v>
      </c>
      <c r="B65" s="33"/>
      <c r="C65" s="33"/>
      <c r="D65" s="33"/>
      <c r="E65" s="33"/>
      <c r="F65" s="33"/>
      <c r="G65" s="33"/>
      <c r="H65" s="33"/>
      <c r="I65" s="33"/>
      <c r="J65" s="33"/>
      <c r="K65" s="33"/>
    </row>
    <row r="68" spans="1:12" s="19" customFormat="1" ht="12" x14ac:dyDescent="0.25">
      <c r="A68" s="19" t="s">
        <v>169</v>
      </c>
      <c r="F68" s="71">
        <f t="shared" ref="F68:K68" si="16">F72+F76</f>
        <v>205893.33333333331</v>
      </c>
      <c r="G68" s="71">
        <f t="shared" si="16"/>
        <v>623407.84091125918</v>
      </c>
      <c r="H68" s="66">
        <f t="shared" ca="1" si="16"/>
        <v>27564868.91173251</v>
      </c>
      <c r="I68" s="66">
        <f t="shared" ca="1" si="16"/>
        <v>29155546.708635919</v>
      </c>
      <c r="J68" s="66">
        <f t="shared" ca="1" si="16"/>
        <v>33436475.516891871</v>
      </c>
      <c r="K68" s="66">
        <f t="shared" ca="1" si="16"/>
        <v>40682333.55950439</v>
      </c>
    </row>
    <row r="69" spans="1:12" ht="12" x14ac:dyDescent="0.25">
      <c r="A69" s="19"/>
    </row>
    <row r="70" spans="1:12" x14ac:dyDescent="0.2">
      <c r="A70" s="5" t="s">
        <v>81</v>
      </c>
      <c r="F70" s="69">
        <f>'Computations 1'!G55</f>
        <v>0</v>
      </c>
      <c r="G70" s="69">
        <f>'Computations 1'!H55</f>
        <v>104000</v>
      </c>
      <c r="H70" s="69">
        <f ca="1">'Computations 1'!I55</f>
        <v>22341102.414760411</v>
      </c>
      <c r="I70" s="69">
        <f>'Computations 1'!J55</f>
        <v>224000</v>
      </c>
      <c r="J70" s="69">
        <f>'Computations 1'!K55</f>
        <v>336000</v>
      </c>
      <c r="K70" s="69">
        <f>'Computations 1'!L55</f>
        <v>496000</v>
      </c>
    </row>
    <row r="71" spans="1:12" x14ac:dyDescent="0.2">
      <c r="A71" s="5" t="s">
        <v>114</v>
      </c>
      <c r="F71" s="65">
        <f>'Computations 1'!G56</f>
        <v>0</v>
      </c>
      <c r="G71" s="65">
        <f>'Computations 1'!H56</f>
        <v>-20800</v>
      </c>
      <c r="H71" s="65">
        <f ca="1">'Computations 1'!I56</f>
        <v>-2269710.2414760413</v>
      </c>
      <c r="I71" s="65">
        <f ca="1">'Computations 1'!J56</f>
        <v>-2314510.2414760413</v>
      </c>
      <c r="J71" s="65">
        <f ca="1">'Computations 1'!K56</f>
        <v>-2381710.2414760413</v>
      </c>
      <c r="K71" s="65">
        <f ca="1">'Computations 1'!L56</f>
        <v>-2480910.2414760413</v>
      </c>
    </row>
    <row r="72" spans="1:12" ht="12" x14ac:dyDescent="0.25">
      <c r="A72" s="19" t="s">
        <v>168</v>
      </c>
      <c r="B72" s="19"/>
      <c r="E72" s="82"/>
      <c r="F72" s="68">
        <f t="shared" ref="F72:K72" si="17">+SUM(F70:F71)+E72</f>
        <v>0</v>
      </c>
      <c r="G72" s="68">
        <f t="shared" si="17"/>
        <v>83200</v>
      </c>
      <c r="H72" s="68">
        <f t="shared" ca="1" si="17"/>
        <v>20154592.17328437</v>
      </c>
      <c r="I72" s="68">
        <f t="shared" ca="1" si="17"/>
        <v>18064081.93180833</v>
      </c>
      <c r="J72" s="68">
        <f t="shared" ca="1" si="17"/>
        <v>16018371.69033229</v>
      </c>
      <c r="K72" s="68">
        <f t="shared" ca="1" si="17"/>
        <v>14033461.448856249</v>
      </c>
    </row>
    <row r="74" spans="1:12" x14ac:dyDescent="0.2">
      <c r="A74" s="5" t="s">
        <v>81</v>
      </c>
      <c r="F74" s="70">
        <f>+'Computations 1'!G66</f>
        <v>257366.66666666666</v>
      </c>
      <c r="G74" s="70">
        <f>+'Computations 1'!H66</f>
        <v>476051.46780574066</v>
      </c>
      <c r="H74" s="70">
        <f>+'Computations 1'!I66</f>
        <v>8532914.92163633</v>
      </c>
      <c r="I74" s="70">
        <f>+'Computations 1'!J66</f>
        <v>5670427.5178499985</v>
      </c>
      <c r="J74" s="70">
        <f>+'Computations 1'!K66</f>
        <v>8569249.4628268033</v>
      </c>
      <c r="K74" s="70">
        <f>+'Computations 1'!L66</f>
        <v>11821447.338742182</v>
      </c>
    </row>
    <row r="75" spans="1:12" x14ac:dyDescent="0.2">
      <c r="A75" s="5" t="s">
        <v>114</v>
      </c>
      <c r="F75" s="65">
        <f>'Computations 1'!G67</f>
        <v>-51473.333333333336</v>
      </c>
      <c r="G75" s="65">
        <f>'Computations 1'!H67</f>
        <v>-141736.96022781479</v>
      </c>
      <c r="H75" s="65">
        <f>'Computations 1'!I67</f>
        <v>-1662846.024099451</v>
      </c>
      <c r="I75" s="65">
        <f>'Computations 1'!J67</f>
        <v>-1989239.4794705487</v>
      </c>
      <c r="J75" s="65">
        <f>'Computations 1'!K67</f>
        <v>-2242610.4130948121</v>
      </c>
      <c r="K75" s="65">
        <f>'Computations 1'!L67</f>
        <v>-2590679.0546536245</v>
      </c>
      <c r="L75" s="70"/>
    </row>
    <row r="76" spans="1:12" s="19" customFormat="1" ht="12" x14ac:dyDescent="0.25">
      <c r="A76" s="19" t="s">
        <v>188</v>
      </c>
      <c r="F76" s="71">
        <f>F74+F75+E76</f>
        <v>205893.33333333331</v>
      </c>
      <c r="G76" s="71">
        <f>G74+G75+F76</f>
        <v>540207.84091125918</v>
      </c>
      <c r="H76" s="71">
        <f>H74+H75+G76</f>
        <v>7410276.7384481383</v>
      </c>
      <c r="I76" s="71">
        <f>I74+I75+H76</f>
        <v>11091464.776827589</v>
      </c>
      <c r="J76" s="68">
        <f>(J74+J75+I76)</f>
        <v>17418103.826559581</v>
      </c>
      <c r="K76" s="71">
        <f>K74+K75+J76</f>
        <v>26648872.11064814</v>
      </c>
    </row>
    <row r="78" spans="1:12" ht="12" x14ac:dyDescent="0.25">
      <c r="A78" s="19" t="s">
        <v>117</v>
      </c>
    </row>
    <row r="80" spans="1:12" x14ac:dyDescent="0.2">
      <c r="A80" s="5" t="s">
        <v>123</v>
      </c>
      <c r="B80" s="5"/>
      <c r="F80" s="65">
        <f>+'Computations 1'!G83</f>
        <v>754366.66666666686</v>
      </c>
      <c r="G80" s="65">
        <f>+'Computations 1'!H83</f>
        <v>19359426.357433453</v>
      </c>
      <c r="H80" s="65">
        <f>+'Computations 1'!I83</f>
        <v>100971873.4798774</v>
      </c>
      <c r="I80" s="65">
        <f>+'Computations 1'!J83</f>
        <v>230597385.72589993</v>
      </c>
      <c r="J80" s="65">
        <f>+'Computations 1'!K83</f>
        <v>348482811.48829001</v>
      </c>
      <c r="K80" s="65">
        <f>+'Computations 1'!L83</f>
        <v>480738858.44218206</v>
      </c>
    </row>
    <row r="81" spans="1:11" x14ac:dyDescent="0.2">
      <c r="A81" s="49" t="s">
        <v>118</v>
      </c>
      <c r="B81" s="25"/>
      <c r="F81" s="67">
        <f>+'Computations 1'!G84</f>
        <v>-746823.00000000023</v>
      </c>
      <c r="G81" s="67">
        <f>+'Computations 1'!H84</f>
        <v>-17590558.223130971</v>
      </c>
      <c r="H81" s="67">
        <f>+'Computations 1'!I84</f>
        <v>-91746087.231784493</v>
      </c>
      <c r="I81" s="67">
        <f>+'Computations 1'!J84</f>
        <v>-209527734.18080744</v>
      </c>
      <c r="J81" s="67">
        <f>+'Computations 1'!K84</f>
        <v>-316641984.73997635</v>
      </c>
      <c r="K81" s="67">
        <f>+'Computations 1'!L84</f>
        <v>-436813814.80095804</v>
      </c>
    </row>
    <row r="82" spans="1:11" x14ac:dyDescent="0.2">
      <c r="A82" s="49" t="s">
        <v>119</v>
      </c>
      <c r="B82" s="25"/>
      <c r="F82" s="67">
        <f>+'Computations 1'!G85</f>
        <v>-6923.6392694064016</v>
      </c>
      <c r="G82" s="67">
        <f>+'Computations 1'!H85</f>
        <v>-177682.4062942524</v>
      </c>
      <c r="H82" s="67">
        <f>+'Computations 1'!I85</f>
        <v>-926728.15385640983</v>
      </c>
      <c r="I82" s="67">
        <f>+'Computations 1'!J85</f>
        <v>-2116441.7594020972</v>
      </c>
      <c r="J82" s="67">
        <f>+'Computations 1'!K85</f>
        <v>-3198403.8862623903</v>
      </c>
      <c r="K82" s="67">
        <f>+'Computations 1'!L85</f>
        <v>-4412260.7555652363</v>
      </c>
    </row>
    <row r="83" spans="1:11" s="19" customFormat="1" ht="12" x14ac:dyDescent="0.25">
      <c r="A83" s="19" t="s">
        <v>120</v>
      </c>
      <c r="F83" s="123">
        <f>+'Computations 1'!G86</f>
        <v>62002.739726027408</v>
      </c>
      <c r="G83" s="136">
        <f>+'Computations 1'!H86</f>
        <v>1591185.7280082291</v>
      </c>
      <c r="H83" s="136">
        <f>+'Computations 1'!I86</f>
        <v>8299058.0942364987</v>
      </c>
      <c r="I83" s="136">
        <f>+'Computations 1'!J86</f>
        <v>18953209.785690404</v>
      </c>
      <c r="J83" s="136">
        <f>+'Computations 1'!K86</f>
        <v>28642422.862051234</v>
      </c>
      <c r="K83" s="136">
        <f>+'Computations 1'!L86</f>
        <v>39512782.885658801</v>
      </c>
    </row>
    <row r="84" spans="1:11" x14ac:dyDescent="0.2">
      <c r="A84" t="s">
        <v>121</v>
      </c>
      <c r="B84" s="25" t="s">
        <v>14</v>
      </c>
      <c r="F84" s="98">
        <f>'Computations 1'!G87</f>
        <v>30</v>
      </c>
      <c r="G84" s="98">
        <f>'Computations 1'!H87</f>
        <v>30</v>
      </c>
      <c r="H84" s="98">
        <f>'Computations 1'!I87</f>
        <v>30</v>
      </c>
      <c r="I84" s="98">
        <f>'Computations 1'!J87</f>
        <v>30</v>
      </c>
      <c r="J84" s="98">
        <f>'Computations 1'!K87</f>
        <v>30</v>
      </c>
      <c r="K84" s="98">
        <f>'Computations 1'!L87</f>
        <v>30</v>
      </c>
    </row>
    <row r="87" spans="1:11" x14ac:dyDescent="0.2">
      <c r="A87" s="5" t="s">
        <v>124</v>
      </c>
      <c r="F87" s="65">
        <f>-'Computations 1'!G91</f>
        <v>-1387702.8871391076</v>
      </c>
      <c r="G87" s="65">
        <f>-'Computations 1'!H91</f>
        <v>-9478208.9503270257</v>
      </c>
      <c r="H87" s="65">
        <f>-'Computations 1'!I91</f>
        <v>-28710384.544377849</v>
      </c>
      <c r="I87" s="65">
        <f>-'Computations 1'!J91</f>
        <v>-53302455.193026602</v>
      </c>
      <c r="J87" s="65">
        <f>-'Computations 1'!K91</f>
        <v>-73791888.482669443</v>
      </c>
      <c r="K87" s="65">
        <f>-'Computations 1'!L91</f>
        <v>-90706434.741213351</v>
      </c>
    </row>
    <row r="88" spans="1:11" ht="12" x14ac:dyDescent="0.25">
      <c r="A88" s="19" t="s">
        <v>125</v>
      </c>
      <c r="B88" s="19"/>
      <c r="C88" s="19"/>
      <c r="D88" s="19"/>
      <c r="E88" s="19"/>
      <c r="F88" s="66">
        <f>-'Computations 1'!G92</f>
        <v>-114057.77154568008</v>
      </c>
      <c r="G88" s="66">
        <f>-'Computations 1'!H92</f>
        <v>-779030.87262961862</v>
      </c>
      <c r="H88" s="66">
        <f>-'Computations 1'!I92</f>
        <v>-2359757.6337844804</v>
      </c>
      <c r="I88" s="66">
        <f>-'Computations 1'!J92</f>
        <v>-4381023.7144953376</v>
      </c>
      <c r="J88" s="66">
        <f>-'Computations 1'!K92</f>
        <v>-6065086.7246029684</v>
      </c>
      <c r="K88" s="66">
        <f>-'Computations 1'!L92</f>
        <v>-7455323.4033873985</v>
      </c>
    </row>
    <row r="89" spans="1:11" x14ac:dyDescent="0.2">
      <c r="A89" t="s">
        <v>126</v>
      </c>
      <c r="B89" t="s">
        <v>14</v>
      </c>
      <c r="F89" s="98">
        <f>'Computations 1'!G93</f>
        <v>30</v>
      </c>
      <c r="G89" s="98">
        <f>'Computations 1'!H93</f>
        <v>30</v>
      </c>
      <c r="H89" s="98">
        <f>'Computations 1'!I93</f>
        <v>30</v>
      </c>
      <c r="I89" s="98">
        <f>'Computations 1'!J93</f>
        <v>30</v>
      </c>
      <c r="J89" s="98">
        <f>'Computations 1'!K93</f>
        <v>30</v>
      </c>
      <c r="K89" s="98">
        <f>'Computations 1'!L93</f>
        <v>30</v>
      </c>
    </row>
    <row r="91" spans="1:11" ht="12" x14ac:dyDescent="0.25">
      <c r="A91" s="19" t="s">
        <v>167</v>
      </c>
      <c r="B91" s="19"/>
      <c r="F91" s="66">
        <f>'Computations 1'!G103</f>
        <v>117487.3333333333</v>
      </c>
      <c r="G91" s="66">
        <f>'Computations 1'!H103</f>
        <v>-1616813.4095447562</v>
      </c>
      <c r="H91" s="66">
        <f ca="1">'Computations 1'!I103</f>
        <v>-5922015.9091811432</v>
      </c>
      <c r="I91" s="66">
        <f ca="1">'Computations 1'!J103</f>
        <v>-29926741.509760659</v>
      </c>
      <c r="J91" s="66">
        <f ca="1">'Computations 1'!K103</f>
        <v>-47700703.00667312</v>
      </c>
      <c r="K91" s="66">
        <f ca="1">'Computations 1'!L103</f>
        <v>-67804055.215009987</v>
      </c>
    </row>
    <row r="92" spans="1:11" ht="12" x14ac:dyDescent="0.25">
      <c r="A92" s="19"/>
      <c r="B92" s="19"/>
      <c r="F92" s="66"/>
      <c r="G92" s="66"/>
      <c r="H92" s="66"/>
      <c r="I92" s="66"/>
      <c r="J92" s="66"/>
      <c r="K92" s="66"/>
    </row>
    <row r="93" spans="1:11" s="19" customFormat="1" ht="12" x14ac:dyDescent="0.25">
      <c r="A93" s="19" t="s">
        <v>166</v>
      </c>
      <c r="F93" s="66">
        <f>'Computations 1'!G115</f>
        <v>-827.22709223046331</v>
      </c>
      <c r="G93" s="66">
        <f>'Computations 1'!H115</f>
        <v>-71830.885842011892</v>
      </c>
      <c r="H93" s="66">
        <f>'Computations 1'!I115</f>
        <v>-183519.93065136764</v>
      </c>
      <c r="I93" s="66">
        <f>'Computations 1'!J115</f>
        <v>-387711.86418400123</v>
      </c>
      <c r="J93" s="66">
        <f>'Computations 1'!K115</f>
        <v>-777453.75373711321</v>
      </c>
      <c r="K93" s="66">
        <f>'Computations 1'!L115</f>
        <v>-1472462.1956415854</v>
      </c>
    </row>
    <row r="94" spans="1:11" ht="12" x14ac:dyDescent="0.25">
      <c r="A94" s="19"/>
      <c r="B94" s="19"/>
      <c r="F94" s="66"/>
      <c r="G94" s="66"/>
      <c r="H94" s="66"/>
      <c r="I94" s="66"/>
      <c r="J94" s="66"/>
      <c r="K94" s="66"/>
    </row>
    <row r="95" spans="1:11" ht="12" x14ac:dyDescent="0.25">
      <c r="A95" s="19"/>
      <c r="B95" s="19"/>
      <c r="F95" s="66"/>
      <c r="G95" s="66"/>
      <c r="H95" s="66"/>
      <c r="I95" s="66"/>
      <c r="J95" s="66"/>
      <c r="K95" s="66"/>
    </row>
    <row r="97" spans="1:14" s="19" customFormat="1" ht="12" x14ac:dyDescent="0.25">
      <c r="A97" s="19" t="s">
        <v>15</v>
      </c>
      <c r="F97" s="66">
        <f t="shared" ref="F97:K97" si="18">SUM(F98:F99)</f>
        <v>-8422.1033437302194</v>
      </c>
      <c r="G97" s="66">
        <f t="shared" si="18"/>
        <v>-314722.67601744365</v>
      </c>
      <c r="H97" s="66">
        <f t="shared" si="18"/>
        <v>-1436844.090902166</v>
      </c>
      <c r="I97" s="66">
        <f t="shared" si="18"/>
        <v>-3738559.2242363635</v>
      </c>
      <c r="J97" s="66">
        <f t="shared" si="18"/>
        <v>-6538542.7497016126</v>
      </c>
      <c r="K97" s="66">
        <f t="shared" si="18"/>
        <v>-9173516.4594354723</v>
      </c>
    </row>
    <row r="98" spans="1:14" x14ac:dyDescent="0.2">
      <c r="A98" s="5" t="s">
        <v>32</v>
      </c>
      <c r="B98" s="5"/>
      <c r="F98" s="65">
        <f>-'Computations 1'!G108</f>
        <v>-6923.6392694064016</v>
      </c>
      <c r="G98" s="65">
        <f>-'Computations 1'!H108</f>
        <v>-184606.04556365882</v>
      </c>
      <c r="H98" s="65">
        <f>-'Computations 1'!I108</f>
        <v>-1104410.5601506622</v>
      </c>
      <c r="I98" s="65">
        <f>-'Computations 1'!J108</f>
        <v>-3036246.2739891009</v>
      </c>
      <c r="J98" s="65">
        <f>-'Computations 1'!K108</f>
        <v>-5130239.6001008283</v>
      </c>
      <c r="K98" s="65">
        <f>-'Computations 1'!L108</f>
        <v>-6506254.0816769628</v>
      </c>
    </row>
    <row r="99" spans="1:14" x14ac:dyDescent="0.2">
      <c r="A99" s="83" t="s">
        <v>31</v>
      </c>
      <c r="F99" s="65">
        <f>-'Computations 1'!G107</f>
        <v>-1498.4640743238181</v>
      </c>
      <c r="G99" s="65">
        <f>-'Computations 1'!H107</f>
        <v>-130116.63045378485</v>
      </c>
      <c r="H99" s="65">
        <f>-'Computations 1'!I107</f>
        <v>-332433.53075150371</v>
      </c>
      <c r="I99" s="65">
        <f>-'Computations 1'!J107</f>
        <v>-702312.9502472626</v>
      </c>
      <c r="J99" s="65">
        <f>-'Computations 1'!K107</f>
        <v>-1408303.1496007845</v>
      </c>
      <c r="K99" s="65">
        <f>-'Computations 1'!L107</f>
        <v>-2667262.3777585095</v>
      </c>
    </row>
    <row r="100" spans="1:14" ht="12" x14ac:dyDescent="0.25">
      <c r="A100" s="19"/>
      <c r="F100" s="21"/>
      <c r="G100" s="21"/>
      <c r="H100" s="21"/>
      <c r="I100" s="21"/>
      <c r="J100" s="21"/>
      <c r="K100" s="21"/>
    </row>
    <row r="102" spans="1:14" s="19" customFormat="1" ht="12" x14ac:dyDescent="0.25">
      <c r="A102" s="19" t="s">
        <v>173</v>
      </c>
      <c r="F102" s="66">
        <f t="shared" ref="F102:K102" ca="1" si="19">+SUM(F103:F107)</f>
        <v>751936.36073059367</v>
      </c>
      <c r="G102" s="103">
        <f t="shared" ca="1" si="19"/>
        <v>7029894.0539745828</v>
      </c>
      <c r="H102" s="103">
        <f t="shared" ca="1" si="19"/>
        <v>57423082.248591125</v>
      </c>
      <c r="I102" s="103">
        <f t="shared" ca="1" si="19"/>
        <v>156224917.234974</v>
      </c>
      <c r="J102" s="103">
        <f t="shared" ca="1" si="19"/>
        <v>289968671.84619063</v>
      </c>
      <c r="K102" s="103">
        <f t="shared" ca="1" si="19"/>
        <v>479519463.7735188</v>
      </c>
      <c r="M102" s="124"/>
    </row>
    <row r="103" spans="1:14" x14ac:dyDescent="0.2">
      <c r="A103" s="5" t="s">
        <v>174</v>
      </c>
      <c r="F103" s="72">
        <f t="shared" ref="F103:K103" si="20">E103+F109*F113</f>
        <v>136500</v>
      </c>
      <c r="G103" s="72">
        <f t="shared" si="20"/>
        <v>136500</v>
      </c>
      <c r="H103" s="72">
        <f t="shared" si="20"/>
        <v>136500</v>
      </c>
      <c r="I103" s="72">
        <f t="shared" si="20"/>
        <v>136500</v>
      </c>
      <c r="J103" s="72">
        <f t="shared" si="20"/>
        <v>136500</v>
      </c>
      <c r="K103" s="72">
        <f t="shared" si="20"/>
        <v>136500</v>
      </c>
      <c r="M103" s="82"/>
    </row>
    <row r="104" spans="1:14" x14ac:dyDescent="0.2">
      <c r="A104" s="5" t="s">
        <v>175</v>
      </c>
      <c r="F104" s="72">
        <f t="shared" ref="F104:K104" si="21">E104+F109*F114</f>
        <v>1228500</v>
      </c>
      <c r="G104" s="72">
        <f t="shared" si="21"/>
        <v>1228500</v>
      </c>
      <c r="H104" s="72">
        <f t="shared" si="21"/>
        <v>1228500</v>
      </c>
      <c r="I104" s="72">
        <f t="shared" si="21"/>
        <v>1228500</v>
      </c>
      <c r="J104" s="72">
        <f t="shared" si="21"/>
        <v>1228500</v>
      </c>
      <c r="K104" s="72">
        <f t="shared" si="21"/>
        <v>1228500</v>
      </c>
      <c r="M104" s="176"/>
    </row>
    <row r="105" spans="1:14" x14ac:dyDescent="0.2">
      <c r="A105" s="5" t="s">
        <v>176</v>
      </c>
      <c r="F105" s="65">
        <f t="shared" ref="F105:K105" si="22">E105+E106</f>
        <v>0</v>
      </c>
      <c r="G105" s="65">
        <f t="shared" ca="1" si="22"/>
        <v>-613063.63926940633</v>
      </c>
      <c r="H105" s="65">
        <f t="shared" ca="1" si="22"/>
        <v>5664894.0539745828</v>
      </c>
      <c r="I105" s="65">
        <f t="shared" ca="1" si="22"/>
        <v>56058082.248591125</v>
      </c>
      <c r="J105" s="65">
        <f t="shared" ca="1" si="22"/>
        <v>164938554.87389731</v>
      </c>
      <c r="K105" s="65">
        <f t="shared" ca="1" si="22"/>
        <v>321267813.63378251</v>
      </c>
    </row>
    <row r="106" spans="1:14" x14ac:dyDescent="0.2">
      <c r="A106" s="5" t="s">
        <v>177</v>
      </c>
      <c r="F106" s="65">
        <f ca="1">'Profit &amp; Loss Account'!B79</f>
        <v>-613063.63926940633</v>
      </c>
      <c r="G106" s="65">
        <f ca="1">'Profit &amp; Loss Account'!C79</f>
        <v>6277957.6932439888</v>
      </c>
      <c r="H106" s="65">
        <f ca="1">'Profit &amp; Loss Account'!D79</f>
        <v>50393188.194616541</v>
      </c>
      <c r="I106" s="65">
        <f ca="1">'Profit &amp; Loss Account'!E79</f>
        <v>108880472.6253062</v>
      </c>
      <c r="J106" s="65">
        <f ca="1">'Profit &amp; Loss Account'!F79</f>
        <v>156329258.75988516</v>
      </c>
      <c r="K106" s="65">
        <f ca="1">'Profit &amp; Loss Account'!G79</f>
        <v>203785427.76770186</v>
      </c>
      <c r="N106" s="5" t="s">
        <v>202</v>
      </c>
    </row>
    <row r="107" spans="1:14" x14ac:dyDescent="0.2">
      <c r="A107" s="5" t="s">
        <v>178</v>
      </c>
      <c r="F107" s="65">
        <f t="shared" ref="F107:K107" si="23">IF(-(+E106)*E118&gt;0,0,-(+E106)*E118)</f>
        <v>0</v>
      </c>
      <c r="G107" s="65">
        <f t="shared" ca="1" si="23"/>
        <v>0</v>
      </c>
      <c r="H107" s="65">
        <f t="shared" ca="1" si="23"/>
        <v>0</v>
      </c>
      <c r="I107" s="65">
        <f t="shared" ca="1" si="23"/>
        <v>-10078637.63892331</v>
      </c>
      <c r="J107" s="65">
        <f t="shared" ca="1" si="23"/>
        <v>-32664141.78759186</v>
      </c>
      <c r="K107" s="65">
        <f t="shared" ca="1" si="23"/>
        <v>-46898777.627965547</v>
      </c>
    </row>
    <row r="108" spans="1:14" x14ac:dyDescent="0.2">
      <c r="A108" s="5"/>
      <c r="F108" s="65"/>
      <c r="G108" s="65"/>
      <c r="H108" s="65"/>
      <c r="I108" s="65"/>
      <c r="J108" s="65"/>
      <c r="K108" s="65"/>
    </row>
    <row r="109" spans="1:14" ht="12" x14ac:dyDescent="0.25">
      <c r="A109" s="177" t="s">
        <v>180</v>
      </c>
      <c r="B109" s="19" t="s">
        <v>36</v>
      </c>
      <c r="C109" s="124">
        <f>+SUM(F109:K109)</f>
        <v>1365000</v>
      </c>
      <c r="D109" s="124"/>
      <c r="F109" s="81">
        <v>1365000</v>
      </c>
      <c r="G109" s="81">
        <v>0</v>
      </c>
      <c r="H109" s="81">
        <v>0</v>
      </c>
      <c r="I109" s="81">
        <v>0</v>
      </c>
      <c r="J109" s="81">
        <v>0</v>
      </c>
      <c r="K109" s="81">
        <v>0</v>
      </c>
    </row>
    <row r="110" spans="1:14" ht="12" x14ac:dyDescent="0.25">
      <c r="A110" s="177" t="s">
        <v>186</v>
      </c>
      <c r="B110" s="19"/>
      <c r="C110" s="124"/>
      <c r="D110" s="124"/>
      <c r="F110" s="81"/>
      <c r="G110" s="81">
        <v>0</v>
      </c>
      <c r="H110" s="81">
        <v>0</v>
      </c>
      <c r="I110" s="81">
        <v>0</v>
      </c>
      <c r="J110" s="81">
        <v>0</v>
      </c>
      <c r="K110" s="81">
        <v>0</v>
      </c>
    </row>
    <row r="111" spans="1:14" x14ac:dyDescent="0.2">
      <c r="A111" s="5"/>
      <c r="F111" s="72"/>
      <c r="G111" s="72"/>
      <c r="H111" s="72"/>
      <c r="I111" s="72"/>
      <c r="J111" s="72"/>
      <c r="K111" s="72"/>
    </row>
    <row r="112" spans="1:14" x14ac:dyDescent="0.2">
      <c r="A112" s="5"/>
      <c r="F112" s="72"/>
      <c r="G112" s="72"/>
      <c r="H112" s="72"/>
      <c r="I112" s="72"/>
      <c r="J112" s="72"/>
      <c r="K112" s="72"/>
    </row>
    <row r="113" spans="1:11" x14ac:dyDescent="0.2">
      <c r="A113" s="5" t="s">
        <v>182</v>
      </c>
      <c r="F113" s="78">
        <v>0.1</v>
      </c>
      <c r="G113" s="77">
        <f t="shared" ref="G113:K114" si="24">F113</f>
        <v>0.1</v>
      </c>
      <c r="H113" s="77">
        <f t="shared" si="24"/>
        <v>0.1</v>
      </c>
      <c r="I113" s="77">
        <f t="shared" si="24"/>
        <v>0.1</v>
      </c>
      <c r="J113" s="77">
        <f t="shared" si="24"/>
        <v>0.1</v>
      </c>
      <c r="K113" s="77">
        <f t="shared" si="24"/>
        <v>0.1</v>
      </c>
    </row>
    <row r="114" spans="1:11" x14ac:dyDescent="0.2">
      <c r="A114" s="5" t="s">
        <v>183</v>
      </c>
      <c r="F114" s="78">
        <v>0.9</v>
      </c>
      <c r="G114" s="77">
        <f t="shared" si="24"/>
        <v>0.9</v>
      </c>
      <c r="H114" s="77">
        <f t="shared" si="24"/>
        <v>0.9</v>
      </c>
      <c r="I114" s="77">
        <f t="shared" si="24"/>
        <v>0.9</v>
      </c>
      <c r="J114" s="77">
        <f t="shared" si="24"/>
        <v>0.9</v>
      </c>
      <c r="K114" s="77">
        <f t="shared" si="24"/>
        <v>0.9</v>
      </c>
    </row>
    <row r="115" spans="1:11" x14ac:dyDescent="0.2">
      <c r="A115" s="5"/>
      <c r="F115" s="21"/>
      <c r="G115" s="21"/>
      <c r="H115" s="21"/>
      <c r="I115" s="21"/>
      <c r="J115" s="21"/>
      <c r="K115" s="21"/>
    </row>
    <row r="116" spans="1:11" x14ac:dyDescent="0.2">
      <c r="A116" s="5" t="s">
        <v>203</v>
      </c>
      <c r="F116" s="21"/>
      <c r="G116" s="21"/>
      <c r="H116" s="78">
        <v>0.05</v>
      </c>
      <c r="I116" s="78">
        <v>0.1</v>
      </c>
      <c r="J116" s="78">
        <v>0.1</v>
      </c>
      <c r="K116" s="78">
        <v>0.1</v>
      </c>
    </row>
    <row r="117" spans="1:11" x14ac:dyDescent="0.2">
      <c r="A117" s="5"/>
      <c r="F117" s="21"/>
      <c r="G117" s="21"/>
      <c r="H117" s="21"/>
      <c r="I117" s="21"/>
      <c r="J117" s="21"/>
      <c r="K117" s="21"/>
    </row>
    <row r="118" spans="1:11" x14ac:dyDescent="0.2">
      <c r="A118" s="5" t="s">
        <v>16</v>
      </c>
      <c r="B118" s="5" t="s">
        <v>12</v>
      </c>
      <c r="F118" s="78"/>
      <c r="G118" s="78"/>
      <c r="H118" s="78">
        <v>0.2</v>
      </c>
      <c r="I118" s="78">
        <v>0.3</v>
      </c>
      <c r="J118" s="78">
        <v>0.3</v>
      </c>
      <c r="K118" s="78">
        <v>0.3</v>
      </c>
    </row>
    <row r="119" spans="1:11" s="19" customFormat="1" ht="12" x14ac:dyDescent="0.25">
      <c r="A119" s="181" t="s">
        <v>181</v>
      </c>
      <c r="C119" s="124">
        <f ca="1">+SUM(F119:K119)</f>
        <v>89641557.054480717</v>
      </c>
      <c r="D119" s="124"/>
      <c r="E119" s="182">
        <f>-C109</f>
        <v>-1365000</v>
      </c>
      <c r="F119" s="183">
        <f t="shared" ref="F119:K119" si="25">+-SUM(F107:F107)</f>
        <v>0</v>
      </c>
      <c r="G119" s="183">
        <f t="shared" ca="1" si="25"/>
        <v>0</v>
      </c>
      <c r="H119" s="183">
        <f t="shared" ca="1" si="25"/>
        <v>0</v>
      </c>
      <c r="I119" s="183">
        <f t="shared" ca="1" si="25"/>
        <v>10078637.63892331</v>
      </c>
      <c r="J119" s="183">
        <f t="shared" ca="1" si="25"/>
        <v>32664141.78759186</v>
      </c>
      <c r="K119" s="183">
        <f t="shared" ca="1" si="25"/>
        <v>46898777.627965547</v>
      </c>
    </row>
    <row r="120" spans="1:11" x14ac:dyDescent="0.2">
      <c r="A120" s="5"/>
      <c r="F120" s="21"/>
      <c r="G120" s="21"/>
      <c r="H120" s="21"/>
      <c r="I120" s="21"/>
      <c r="J120" s="21"/>
      <c r="K120" s="21"/>
    </row>
    <row r="121" spans="1:11" ht="12" x14ac:dyDescent="0.25">
      <c r="A121" s="181" t="s">
        <v>204</v>
      </c>
      <c r="E121" s="178">
        <f ca="1">IFERROR(IRR(E119:K119,10%),0)</f>
        <v>1.2352942476228601</v>
      </c>
      <c r="F121" s="21"/>
      <c r="G121" s="21"/>
      <c r="H121" s="21"/>
      <c r="I121" s="21"/>
      <c r="J121" s="21"/>
      <c r="K121" s="21"/>
    </row>
    <row r="122" spans="1:11" x14ac:dyDescent="0.2">
      <c r="A122" s="5"/>
      <c r="F122" s="21"/>
      <c r="G122" s="21"/>
      <c r="H122" s="21"/>
      <c r="I122" s="21"/>
      <c r="J122" s="21"/>
      <c r="K122" s="21"/>
    </row>
    <row r="124" spans="1:11" x14ac:dyDescent="0.2">
      <c r="A124" s="5" t="s">
        <v>185</v>
      </c>
      <c r="F124" s="180">
        <f t="shared" ref="F124:K124" si="26">F110</f>
        <v>0</v>
      </c>
      <c r="G124" s="180">
        <f t="shared" si="26"/>
        <v>0</v>
      </c>
      <c r="H124" s="180">
        <f t="shared" si="26"/>
        <v>0</v>
      </c>
      <c r="I124" s="180">
        <f t="shared" si="26"/>
        <v>0</v>
      </c>
      <c r="J124" s="180">
        <f t="shared" si="26"/>
        <v>0</v>
      </c>
      <c r="K124" s="180">
        <f t="shared" si="26"/>
        <v>0</v>
      </c>
    </row>
    <row r="126" spans="1:11" x14ac:dyDescent="0.2">
      <c r="A126" s="5"/>
    </row>
  </sheetData>
  <phoneticPr fontId="11" type="noConversion"/>
  <pageMargins left="0.74803149606299213" right="0.74803149606299213" top="0.98425196850393704" bottom="0.98425196850393704" header="0.51181102362204722" footer="0.51181102362204722"/>
  <pageSetup paperSize="9" scale="35"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pageSetUpPr fitToPage="1"/>
  </sheetPr>
  <dimension ref="A1:AH139"/>
  <sheetViews>
    <sheetView showGridLines="0" zoomScale="110" zoomScaleNormal="110" workbookViewId="0">
      <pane xSplit="1" ySplit="6" topLeftCell="B100" activePane="bottomRight" state="frozen"/>
      <selection pane="topRight" activeCell="C1" sqref="C1"/>
      <selection pane="bottomLeft" activeCell="A7" sqref="A7"/>
      <selection pane="bottomRight" activeCell="K1" sqref="K1"/>
    </sheetView>
  </sheetViews>
  <sheetFormatPr defaultRowHeight="11.4" x14ac:dyDescent="0.2"/>
  <cols>
    <col min="1" max="1" width="41.375" customWidth="1"/>
    <col min="2" max="4" width="9" customWidth="1"/>
    <col min="5" max="5" width="19.375" customWidth="1"/>
    <col min="6" max="8" width="15.75" customWidth="1"/>
    <col min="9" max="9" width="17.875" customWidth="1"/>
    <col min="10" max="10" width="17" customWidth="1"/>
    <col min="11" max="11" width="16.625" customWidth="1"/>
    <col min="12" max="12" width="16.375" customWidth="1"/>
  </cols>
  <sheetData>
    <row r="1" spans="1:34" ht="15" x14ac:dyDescent="0.25">
      <c r="A1" s="117"/>
      <c r="B1" s="16"/>
      <c r="C1" s="111"/>
      <c r="D1" s="16"/>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15.6" x14ac:dyDescent="0.3">
      <c r="A2" s="118" t="s">
        <v>107</v>
      </c>
      <c r="B2" s="15"/>
      <c r="C2" s="14"/>
      <c r="D2" s="14"/>
      <c r="E2" s="14"/>
      <c r="F2" s="13"/>
      <c r="G2" s="12">
        <v>2021</v>
      </c>
      <c r="H2" s="12">
        <f>+G2+1</f>
        <v>2022</v>
      </c>
      <c r="I2" s="12">
        <f>+H2+1</f>
        <v>2023</v>
      </c>
      <c r="J2" s="12">
        <f>+I2+1</f>
        <v>2024</v>
      </c>
      <c r="K2" s="12">
        <f>+J2+1</f>
        <v>2025</v>
      </c>
      <c r="L2" s="12">
        <f>+K2+1</f>
        <v>2026</v>
      </c>
      <c r="M2" s="11"/>
      <c r="N2" s="11"/>
      <c r="O2" s="11"/>
      <c r="P2" s="11"/>
      <c r="Q2" s="11"/>
      <c r="R2" s="11"/>
      <c r="S2" s="11"/>
      <c r="T2" s="9"/>
      <c r="U2" s="9"/>
      <c r="V2" s="9"/>
      <c r="W2" s="9"/>
      <c r="X2" s="9"/>
      <c r="Y2" s="9"/>
      <c r="Z2" s="9"/>
      <c r="AA2" s="9"/>
      <c r="AB2" s="9"/>
      <c r="AC2" s="9"/>
      <c r="AD2" s="9"/>
      <c r="AE2" s="9"/>
      <c r="AF2" s="9"/>
      <c r="AG2" s="9"/>
      <c r="AH2" s="9"/>
    </row>
    <row r="3" spans="1:34" x14ac:dyDescent="0.2">
      <c r="A3" s="119" t="str">
        <f>+A2</f>
        <v>Computations 1</v>
      </c>
      <c r="F3" s="8"/>
      <c r="G3" s="7"/>
      <c r="H3" s="7"/>
      <c r="I3" s="7"/>
      <c r="J3" s="7"/>
      <c r="K3" s="7"/>
      <c r="L3" s="7"/>
      <c r="M3" s="7"/>
      <c r="N3" s="7"/>
      <c r="O3" s="7"/>
      <c r="P3" s="7"/>
      <c r="Q3" s="7"/>
      <c r="R3" s="7"/>
      <c r="S3" s="7"/>
      <c r="T3" s="9"/>
      <c r="U3" s="9"/>
      <c r="V3" s="9"/>
      <c r="W3" s="9"/>
      <c r="X3" s="9"/>
      <c r="Y3" s="9"/>
      <c r="Z3" s="9"/>
      <c r="AA3" s="9"/>
      <c r="AB3" s="9"/>
      <c r="AC3" s="9"/>
      <c r="AD3" s="9"/>
      <c r="AE3" s="9"/>
      <c r="AF3" s="9"/>
      <c r="AG3" s="9"/>
      <c r="AH3" s="9"/>
    </row>
    <row r="4" spans="1:34" x14ac:dyDescent="0.2">
      <c r="A4" s="120"/>
      <c r="F4" s="8"/>
      <c r="G4" s="7"/>
      <c r="H4" s="7"/>
      <c r="I4" s="7"/>
      <c r="J4" s="7"/>
      <c r="K4" s="7"/>
      <c r="L4" s="7"/>
      <c r="M4" s="7"/>
      <c r="N4" s="7"/>
      <c r="O4" s="7"/>
      <c r="P4" s="7"/>
      <c r="Q4" s="7"/>
      <c r="R4" s="7"/>
      <c r="S4" s="7"/>
    </row>
    <row r="5" spans="1:34" x14ac:dyDescent="0.2">
      <c r="A5" s="121"/>
      <c r="F5" s="8"/>
      <c r="G5" s="10"/>
      <c r="H5" s="10"/>
      <c r="I5" s="10"/>
      <c r="J5" s="10"/>
      <c r="K5" s="10"/>
      <c r="L5" s="10"/>
      <c r="M5" s="10"/>
      <c r="N5" s="10"/>
      <c r="O5" s="10"/>
      <c r="P5" s="10"/>
      <c r="Q5" s="10"/>
      <c r="R5" s="10"/>
      <c r="S5" s="10"/>
    </row>
    <row r="6" spans="1:34" x14ac:dyDescent="0.2">
      <c r="A6" s="122" t="s">
        <v>382</v>
      </c>
      <c r="F6" s="8"/>
      <c r="G6" s="10"/>
      <c r="H6" s="10"/>
      <c r="I6" s="10"/>
      <c r="J6" s="10"/>
      <c r="K6" s="10"/>
      <c r="L6" s="10"/>
      <c r="M6" s="10"/>
      <c r="N6" s="10"/>
      <c r="O6" s="10"/>
      <c r="P6" s="10"/>
      <c r="Q6" s="10"/>
      <c r="R6" s="10"/>
      <c r="S6" s="10"/>
      <c r="T6" s="9"/>
      <c r="U6" s="9"/>
      <c r="V6" s="9"/>
      <c r="W6" s="9"/>
      <c r="X6" s="9"/>
      <c r="Y6" s="9"/>
      <c r="Z6" s="9"/>
      <c r="AA6" s="9"/>
      <c r="AB6" s="9"/>
      <c r="AC6" s="9"/>
      <c r="AD6" s="9"/>
      <c r="AE6" s="9"/>
      <c r="AF6" s="9"/>
      <c r="AG6" s="9"/>
      <c r="AH6" s="9"/>
    </row>
    <row r="7" spans="1:34" x14ac:dyDescent="0.2">
      <c r="A7" s="122" t="s">
        <v>381</v>
      </c>
      <c r="F7" s="8"/>
      <c r="G7" s="7"/>
      <c r="H7" s="7"/>
      <c r="I7" s="7"/>
      <c r="J7" s="7"/>
      <c r="K7" s="7"/>
      <c r="L7" s="7"/>
      <c r="M7" s="7"/>
      <c r="N7" s="7"/>
      <c r="O7" s="7"/>
      <c r="P7" s="7"/>
      <c r="Q7" s="7"/>
      <c r="R7" s="7"/>
      <c r="S7" s="7"/>
      <c r="T7" s="9"/>
      <c r="U7" s="9"/>
      <c r="V7" s="9"/>
      <c r="W7" s="9"/>
      <c r="X7" s="9"/>
      <c r="Y7" s="9"/>
      <c r="Z7" s="9"/>
      <c r="AA7" s="9"/>
      <c r="AB7" s="9"/>
      <c r="AC7" s="9"/>
      <c r="AD7" s="9"/>
      <c r="AE7" s="9"/>
      <c r="AF7" s="9"/>
      <c r="AG7" s="9"/>
      <c r="AH7" s="9"/>
    </row>
    <row r="8" spans="1:34" x14ac:dyDescent="0.2">
      <c r="F8" s="8"/>
      <c r="G8" s="7"/>
      <c r="H8" s="7"/>
      <c r="I8" s="7"/>
      <c r="J8" s="7"/>
      <c r="K8" s="7"/>
      <c r="L8" s="7"/>
      <c r="M8" s="7"/>
      <c r="N8" s="7"/>
      <c r="O8" s="7"/>
      <c r="P8" s="7"/>
      <c r="Q8" s="7"/>
      <c r="R8" s="7"/>
      <c r="S8" s="7"/>
      <c r="T8" s="9"/>
      <c r="U8" s="9"/>
      <c r="V8" s="9"/>
      <c r="W8" s="9"/>
      <c r="X8" s="9"/>
      <c r="Y8" s="9"/>
      <c r="Z8" s="9"/>
      <c r="AA8" s="9"/>
      <c r="AB8" s="9"/>
      <c r="AC8" s="9"/>
      <c r="AD8" s="9"/>
      <c r="AE8" s="9"/>
      <c r="AF8" s="9"/>
      <c r="AG8" s="9"/>
      <c r="AH8" s="9"/>
    </row>
    <row r="10" spans="1:34" s="116" customFormat="1" ht="15" x14ac:dyDescent="0.2">
      <c r="A10" s="115" t="s">
        <v>106</v>
      </c>
    </row>
    <row r="12" spans="1:34" ht="12" x14ac:dyDescent="0.25">
      <c r="D12" s="1" t="s">
        <v>30</v>
      </c>
    </row>
    <row r="13" spans="1:34" s="19" customFormat="1" ht="12" x14ac:dyDescent="0.25">
      <c r="A13" s="19" t="s">
        <v>53</v>
      </c>
      <c r="B13" s="19" t="s">
        <v>73</v>
      </c>
      <c r="D13" s="94">
        <v>0.22</v>
      </c>
      <c r="G13" s="207">
        <f>'1.Revenues and Costs of Sales'!C35</f>
        <v>618333.33333333349</v>
      </c>
      <c r="H13" s="207">
        <f>'1.Revenues and Costs of Sales'!D35</f>
        <v>15868382.260191355</v>
      </c>
      <c r="I13" s="207">
        <f>'1.Revenues and Costs of Sales'!E35</f>
        <v>82763830.721210986</v>
      </c>
      <c r="J13" s="207">
        <f>'1.Revenues and Costs of Sales'!F35</f>
        <v>189014250.59499994</v>
      </c>
      <c r="K13" s="207">
        <f>'1.Revenues and Costs of Sales'!G35</f>
        <v>285641648.76089346</v>
      </c>
      <c r="L13" s="207">
        <f>'1.Revenues and Costs of Sales'!H35</f>
        <v>394048244.62473941</v>
      </c>
    </row>
    <row r="15" spans="1:34" s="116" customFormat="1" ht="15" x14ac:dyDescent="0.2">
      <c r="A15" s="115" t="s">
        <v>11</v>
      </c>
    </row>
    <row r="17" spans="1:14" x14ac:dyDescent="0.2">
      <c r="G17" s="17"/>
      <c r="H17" s="17"/>
      <c r="I17" s="17"/>
      <c r="J17" s="17"/>
      <c r="K17" s="17"/>
      <c r="L17" s="17"/>
    </row>
    <row r="18" spans="1:14" s="19" customFormat="1" ht="12" x14ac:dyDescent="0.25">
      <c r="A18" s="19" t="s">
        <v>57</v>
      </c>
      <c r="D18" s="94">
        <v>0.22</v>
      </c>
      <c r="G18" s="208">
        <f t="shared" ref="G18:L18" si="0">SUM(F19:G21)</f>
        <v>1120000</v>
      </c>
      <c r="H18" s="208">
        <f t="shared" si="0"/>
        <v>6667390.1888599508</v>
      </c>
      <c r="I18" s="208">
        <f t="shared" si="0"/>
        <v>17927382.362499457</v>
      </c>
      <c r="J18" s="208">
        <f t="shared" si="0"/>
        <v>30887841.47425963</v>
      </c>
      <c r="K18" s="208">
        <f t="shared" si="0"/>
        <v>41141595.692903236</v>
      </c>
      <c r="L18" s="208">
        <f t="shared" si="0"/>
        <v>47664718.743284121</v>
      </c>
    </row>
    <row r="19" spans="1:14" x14ac:dyDescent="0.2">
      <c r="A19" s="25" t="s">
        <v>54</v>
      </c>
      <c r="G19" s="209">
        <f>'1.Revenues and Costs of Sales'!C48</f>
        <v>100000</v>
      </c>
      <c r="H19" s="209">
        <f>'1.Revenues and Costs of Sales'!D48</f>
        <v>618465.84384264913</v>
      </c>
      <c r="I19" s="209">
        <f>'1.Revenues and Costs of Sales'!E48</f>
        <v>1538061.0692355921</v>
      </c>
      <c r="J19" s="209">
        <f>'1.Revenues and Costs of Sales'!F48</f>
        <v>2425506.8727641525</v>
      </c>
      <c r="K19" s="209">
        <f>'1.Revenues and Costs of Sales'!G48</f>
        <v>3045909.3532675728</v>
      </c>
      <c r="L19" s="209">
        <f>'1.Revenues and Costs of Sales'!H48</f>
        <v>3413298.005778058</v>
      </c>
    </row>
    <row r="20" spans="1:14" x14ac:dyDescent="0.2">
      <c r="A20" s="25" t="s">
        <v>59</v>
      </c>
      <c r="G20" s="209">
        <f>'1.Revenues and Costs of Sales'!C50</f>
        <v>120000</v>
      </c>
      <c r="H20" s="209">
        <f>'1.Revenues and Costs of Sales'!D50</f>
        <v>514742.65414865321</v>
      </c>
      <c r="I20" s="209">
        <f>'1.Revenues and Costs of Sales'!E50</f>
        <v>1066091.8254823205</v>
      </c>
      <c r="J20" s="209">
        <f>'1.Revenues and Costs of Sales'!F50</f>
        <v>1534252.5055104077</v>
      </c>
      <c r="K20" s="209">
        <f>'1.Revenues and Costs of Sales'!G50</f>
        <v>1840551.4206799495</v>
      </c>
      <c r="L20" s="209">
        <f>'1.Revenues and Costs of Sales'!H50</f>
        <v>2015921.0145393417</v>
      </c>
    </row>
    <row r="21" spans="1:14" x14ac:dyDescent="0.2">
      <c r="A21" s="25" t="s">
        <v>56</v>
      </c>
      <c r="G21" s="209">
        <f>'1.Revenues and Costs of Sales'!C51</f>
        <v>900000</v>
      </c>
      <c r="H21" s="209">
        <f>'1.Revenues and Costs of Sales'!D51</f>
        <v>4414181.6908686487</v>
      </c>
      <c r="I21" s="209">
        <f>'1.Revenues and Costs of Sales'!E51</f>
        <v>9775839.278921593</v>
      </c>
      <c r="J21" s="209">
        <f>'1.Revenues and Costs of Sales'!F51</f>
        <v>14548089.922345562</v>
      </c>
      <c r="K21" s="209">
        <f>'1.Revenues and Costs of Sales'!G51</f>
        <v>17747285.618335593</v>
      </c>
      <c r="L21" s="209">
        <f>'1.Revenues and Costs of Sales'!H51</f>
        <v>19601753.3306836</v>
      </c>
    </row>
    <row r="22" spans="1:14" x14ac:dyDescent="0.2">
      <c r="G22" s="17"/>
      <c r="H22" s="17"/>
      <c r="I22" s="17"/>
      <c r="J22" s="17"/>
      <c r="K22" s="17"/>
      <c r="L22" s="17"/>
    </row>
    <row r="23" spans="1:14" s="19" customFormat="1" ht="12" x14ac:dyDescent="0.25">
      <c r="A23" s="19" t="s">
        <v>108</v>
      </c>
      <c r="G23" s="135">
        <f t="shared" ref="G23:L23" si="1">SUM(G24:G26)</f>
        <v>30000</v>
      </c>
      <c r="H23" s="93">
        <f t="shared" si="1"/>
        <v>2575000</v>
      </c>
      <c r="I23" s="93">
        <f t="shared" si="1"/>
        <v>4050485.5024104808</v>
      </c>
      <c r="J23" s="93">
        <f t="shared" si="1"/>
        <v>7405170.9180148393</v>
      </c>
      <c r="K23" s="93">
        <f t="shared" si="1"/>
        <v>14134276.786157187</v>
      </c>
      <c r="L23" s="93">
        <f t="shared" si="1"/>
        <v>25204993.227331735</v>
      </c>
      <c r="N23" s="89"/>
    </row>
    <row r="24" spans="1:14" x14ac:dyDescent="0.2">
      <c r="A24" s="49" t="s">
        <v>109</v>
      </c>
      <c r="G24" s="209">
        <f>'4.Personnel'!C79</f>
        <v>20229.265003371544</v>
      </c>
      <c r="H24" s="209">
        <f>'4.Personnel'!D79</f>
        <v>1736345.2461227239</v>
      </c>
      <c r="I24" s="209">
        <f>'4.Personnel'!E79</f>
        <v>2731278.1540192044</v>
      </c>
      <c r="J24" s="209">
        <f>'4.Personnel'!F79</f>
        <v>4993372.1631927434</v>
      </c>
      <c r="K24" s="209">
        <f>'4.Personnel'!G79</f>
        <v>9530867.6912725456</v>
      </c>
      <c r="L24" s="209">
        <f>'4.Personnel'!H79</f>
        <v>16995949.580129288</v>
      </c>
    </row>
    <row r="25" spans="1:14" x14ac:dyDescent="0.2">
      <c r="A25" s="49" t="s">
        <v>110</v>
      </c>
      <c r="G25" s="209">
        <f>'4.Personnel'!C80</f>
        <v>1498.4640743238181</v>
      </c>
      <c r="H25" s="209">
        <f>'4.Personnel'!D80</f>
        <v>128618.16637946104</v>
      </c>
      <c r="I25" s="209">
        <f>'4.Personnel'!E80</f>
        <v>202316.90029771885</v>
      </c>
      <c r="J25" s="209">
        <f>'4.Personnel'!F80</f>
        <v>369879.41949575883</v>
      </c>
      <c r="K25" s="209">
        <f>'4.Personnel'!G80</f>
        <v>705990.19935352192</v>
      </c>
      <c r="L25" s="209">
        <f>'4.Personnel'!H80</f>
        <v>1258959.228157725</v>
      </c>
    </row>
    <row r="26" spans="1:14" x14ac:dyDescent="0.2">
      <c r="A26" s="49" t="s">
        <v>92</v>
      </c>
      <c r="G26" s="209">
        <f>'4.Personnel'!C81</f>
        <v>8272.2709223046386</v>
      </c>
      <c r="H26" s="209">
        <f>'4.Personnel'!D81</f>
        <v>710036.58749781502</v>
      </c>
      <c r="I26" s="209">
        <f>'4.Personnel'!E81</f>
        <v>1116890.4480935573</v>
      </c>
      <c r="J26" s="209">
        <f>'4.Personnel'!F81</f>
        <v>2041919.3353263373</v>
      </c>
      <c r="K26" s="209">
        <f>'4.Personnel'!G81</f>
        <v>3897418.8955311188</v>
      </c>
      <c r="L26" s="209">
        <f>'4.Personnel'!H81</f>
        <v>6950084.4190447219</v>
      </c>
    </row>
    <row r="27" spans="1:14" x14ac:dyDescent="0.2">
      <c r="G27" s="21"/>
      <c r="H27" s="34"/>
      <c r="I27" s="34"/>
      <c r="J27" s="34"/>
      <c r="K27" s="34"/>
      <c r="L27" s="34"/>
    </row>
    <row r="28" spans="1:14" ht="12" x14ac:dyDescent="0.25">
      <c r="A28" s="19" t="s">
        <v>60</v>
      </c>
      <c r="B28" s="55"/>
      <c r="C28" s="316"/>
      <c r="D28" s="317"/>
      <c r="E28" s="317"/>
      <c r="F28" s="317"/>
      <c r="G28" s="56"/>
      <c r="H28" s="56"/>
      <c r="I28" s="56"/>
      <c r="J28" s="56"/>
      <c r="K28" s="56"/>
    </row>
    <row r="29" spans="1:14" ht="12" x14ac:dyDescent="0.25">
      <c r="A29" s="19"/>
      <c r="B29" s="55"/>
      <c r="C29" s="102"/>
      <c r="D29" s="101"/>
      <c r="E29" s="101"/>
      <c r="F29" s="101"/>
      <c r="G29" s="56"/>
      <c r="H29" s="56"/>
      <c r="I29" s="56"/>
      <c r="J29" s="56"/>
      <c r="K29" s="56"/>
    </row>
    <row r="30" spans="1:14" ht="12" x14ac:dyDescent="0.25">
      <c r="A30" s="19" t="s">
        <v>111</v>
      </c>
      <c r="B30" s="55"/>
      <c r="C30" s="102"/>
      <c r="D30" s="1" t="s">
        <v>30</v>
      </c>
      <c r="E30" s="101"/>
      <c r="F30" s="101"/>
      <c r="G30" s="106">
        <f t="shared" ref="G30:L30" si="2">SUM(G32:G41)-G37</f>
        <v>23000</v>
      </c>
      <c r="H30" s="106">
        <f t="shared" si="2"/>
        <v>1412188.7419585907</v>
      </c>
      <c r="I30" s="106">
        <f t="shared" si="2"/>
        <v>7192176.8896732349</v>
      </c>
      <c r="J30" s="106">
        <f t="shared" si="2"/>
        <v>16425338.376705496</v>
      </c>
      <c r="K30" s="106">
        <f t="shared" si="2"/>
        <v>19109426.302103773</v>
      </c>
      <c r="L30" s="106">
        <f t="shared" si="2"/>
        <v>26361827.565395068</v>
      </c>
    </row>
    <row r="31" spans="1:14" ht="12" x14ac:dyDescent="0.25">
      <c r="A31" s="19"/>
      <c r="B31" s="55"/>
      <c r="C31" s="102"/>
      <c r="D31" s="101"/>
      <c r="E31" s="101"/>
      <c r="F31" s="101"/>
      <c r="G31" s="56"/>
      <c r="H31" s="56"/>
      <c r="I31" s="56"/>
      <c r="J31" s="56"/>
      <c r="K31" s="56"/>
    </row>
    <row r="32" spans="1:14" ht="12" x14ac:dyDescent="0.25">
      <c r="A32" s="49" t="s">
        <v>62</v>
      </c>
      <c r="D32" s="94">
        <v>0</v>
      </c>
      <c r="G32" s="209">
        <f>'3.Annual Costs'!B6</f>
        <v>0</v>
      </c>
      <c r="H32" s="209">
        <f>'3.Annual Costs'!C6</f>
        <v>36400</v>
      </c>
      <c r="I32" s="209">
        <f>'3.Annual Costs'!D6</f>
        <v>0</v>
      </c>
      <c r="J32" s="209">
        <f>'3.Annual Costs'!E6</f>
        <v>0</v>
      </c>
      <c r="K32" s="209">
        <f>'3.Annual Costs'!F6</f>
        <v>0</v>
      </c>
      <c r="L32" s="209">
        <f>'3.Annual Costs'!G6</f>
        <v>0</v>
      </c>
    </row>
    <row r="33" spans="1:12" ht="12" x14ac:dyDescent="0.25">
      <c r="A33" s="49" t="s">
        <v>63</v>
      </c>
      <c r="D33" s="94">
        <v>0.22</v>
      </c>
      <c r="E33" s="18"/>
      <c r="G33" s="209">
        <f>'3.Annual Costs'!B7</f>
        <v>0</v>
      </c>
      <c r="H33" s="209">
        <f>'3.Annual Costs'!C7</f>
        <v>0</v>
      </c>
      <c r="I33" s="209">
        <f>'3.Annual Costs'!D7</f>
        <v>8276.3830721210998</v>
      </c>
      <c r="J33" s="209">
        <f>'3.Annual Costs'!E7</f>
        <v>18901.425059499994</v>
      </c>
      <c r="K33" s="209">
        <f>'3.Annual Costs'!F7</f>
        <v>28564.164876089348</v>
      </c>
      <c r="L33" s="209">
        <f>'3.Annual Costs'!G7</f>
        <v>39404.824462473945</v>
      </c>
    </row>
    <row r="34" spans="1:12" ht="12" x14ac:dyDescent="0.25">
      <c r="A34" s="49" t="s">
        <v>78</v>
      </c>
      <c r="D34" s="94">
        <v>0.22</v>
      </c>
      <c r="E34" s="18"/>
      <c r="G34" s="209">
        <f>'3.Annual Costs'!B8</f>
        <v>0</v>
      </c>
      <c r="H34" s="209">
        <f>'3.Annual Costs'!C8</f>
        <v>439554.18860730052</v>
      </c>
      <c r="I34" s="209">
        <f>'3.Annual Costs'!D8</f>
        <v>2292558.1109775444</v>
      </c>
      <c r="J34" s="209">
        <f>'3.Annual Costs'!E8</f>
        <v>5235694.7414814979</v>
      </c>
      <c r="K34" s="209">
        <f>'3.Annual Costs'!F8</f>
        <v>7912273.6706767483</v>
      </c>
      <c r="L34" s="209">
        <f>'3.Annual Costs'!G8</f>
        <v>10915136.376105281</v>
      </c>
    </row>
    <row r="35" spans="1:12" ht="12" x14ac:dyDescent="0.25">
      <c r="A35" s="49" t="s">
        <v>64</v>
      </c>
      <c r="D35" s="94">
        <v>0.22</v>
      </c>
      <c r="E35" s="18"/>
      <c r="G35" s="209">
        <f>'3.Annual Costs'!B9</f>
        <v>0</v>
      </c>
      <c r="H35" s="209">
        <f>'3.Annual Costs'!C9</f>
        <v>0</v>
      </c>
      <c r="I35" s="209">
        <f>'3.Annual Costs'!D9</f>
        <v>8276.3830721210998</v>
      </c>
      <c r="J35" s="209">
        <f>'3.Annual Costs'!E9</f>
        <v>18901.425059499994</v>
      </c>
      <c r="K35" s="209">
        <f>'3.Annual Costs'!F9</f>
        <v>28564.164876089348</v>
      </c>
      <c r="L35" s="209">
        <f>'3.Annual Costs'!G9</f>
        <v>39404.824462473945</v>
      </c>
    </row>
    <row r="36" spans="1:12" ht="12" x14ac:dyDescent="0.25">
      <c r="A36" s="49" t="s">
        <v>65</v>
      </c>
      <c r="D36" s="94">
        <v>0</v>
      </c>
      <c r="E36" s="18"/>
      <c r="G36" s="209">
        <f>'3.Annual Costs'!B10</f>
        <v>3000</v>
      </c>
      <c r="H36" s="209">
        <f>'3.Annual Costs'!C10</f>
        <v>15868.382260191354</v>
      </c>
      <c r="I36" s="209">
        <f>'3.Annual Costs'!D10</f>
        <v>82763.830721210994</v>
      </c>
      <c r="J36" s="209">
        <f>'3.Annual Costs'!E10</f>
        <v>189014.25059499993</v>
      </c>
      <c r="K36" s="209">
        <f>'3.Annual Costs'!F10</f>
        <v>285641.6487608935</v>
      </c>
      <c r="L36" s="209">
        <f>'3.Annual Costs'!G10</f>
        <v>394048.2446247394</v>
      </c>
    </row>
    <row r="37" spans="1:12" ht="12" x14ac:dyDescent="0.25">
      <c r="A37" s="49" t="s">
        <v>66</v>
      </c>
      <c r="D37" s="94">
        <v>0.22</v>
      </c>
      <c r="E37" s="18"/>
      <c r="G37" s="209">
        <f>'3.Annual Costs'!B11</f>
        <v>0</v>
      </c>
      <c r="H37" s="209">
        <f>'3.Annual Costs'!C11</f>
        <v>15868.382260191354</v>
      </c>
      <c r="I37" s="209">
        <f>'3.Annual Costs'!D11</f>
        <v>82763.830721210994</v>
      </c>
      <c r="J37" s="209">
        <f>'3.Annual Costs'!E11</f>
        <v>189014.25059499993</v>
      </c>
      <c r="K37" s="209">
        <f>'3.Annual Costs'!F11</f>
        <v>285641.6487608935</v>
      </c>
      <c r="L37" s="209">
        <f>'3.Annual Costs'!G11</f>
        <v>394048.2446247394</v>
      </c>
    </row>
    <row r="38" spans="1:12" ht="12" x14ac:dyDescent="0.25">
      <c r="A38" s="49" t="s">
        <v>67</v>
      </c>
      <c r="D38" s="94">
        <v>0.22</v>
      </c>
      <c r="E38" s="18"/>
      <c r="G38" s="209">
        <f>'3.Annual Costs'!B12</f>
        <v>0</v>
      </c>
      <c r="H38" s="209">
        <f>'3.Annual Costs'!C12</f>
        <v>79341.911300956781</v>
      </c>
      <c r="I38" s="209">
        <f>'3.Annual Costs'!D12</f>
        <v>413819.15360605496</v>
      </c>
      <c r="J38" s="209">
        <f>'3.Annual Costs'!E12</f>
        <v>945071.25297499972</v>
      </c>
      <c r="K38" s="209">
        <f>'3.Annual Costs'!F12</f>
        <v>1428208.2438044674</v>
      </c>
      <c r="L38" s="209">
        <f>'3.Annual Costs'!G12</f>
        <v>1970241.2231236971</v>
      </c>
    </row>
    <row r="39" spans="1:12" ht="12" x14ac:dyDescent="0.25">
      <c r="A39" s="49" t="s">
        <v>74</v>
      </c>
      <c r="D39" s="94">
        <v>0.22</v>
      </c>
      <c r="E39" s="18"/>
      <c r="G39" s="209">
        <f>'3.Annual Costs'!B13</f>
        <v>15000</v>
      </c>
      <c r="H39" s="209">
        <f>'3.Annual Costs'!C13</f>
        <v>158683.82260191356</v>
      </c>
      <c r="I39" s="209">
        <f>'3.Annual Costs'!D13</f>
        <v>827638.30721210991</v>
      </c>
      <c r="J39" s="209">
        <f>'3.Annual Costs'!E13</f>
        <v>1890142.5059499994</v>
      </c>
      <c r="K39" s="209">
        <f>'3.Annual Costs'!F13</f>
        <v>2856416.4876089348</v>
      </c>
      <c r="L39" s="209">
        <f>'3.Annual Costs'!G13</f>
        <v>3940482.4462473942</v>
      </c>
    </row>
    <row r="40" spans="1:12" ht="12" x14ac:dyDescent="0.25">
      <c r="A40" s="49" t="s">
        <v>75</v>
      </c>
      <c r="D40" s="94">
        <v>0.22</v>
      </c>
      <c r="E40" s="18"/>
      <c r="G40" s="209">
        <f>'3.Annual Costs'!B14</f>
        <v>0</v>
      </c>
      <c r="H40" s="209">
        <f>'3.Annual Costs'!C14</f>
        <v>364972.79198440118</v>
      </c>
      <c r="I40" s="209">
        <f>'3.Annual Costs'!D14</f>
        <v>1903568.1065878526</v>
      </c>
      <c r="J40" s="209">
        <f>'3.Annual Costs'!E14</f>
        <v>4347327.7636849983</v>
      </c>
      <c r="K40" s="209">
        <f>'3.Annual Costs'!F14</f>
        <v>6569757.9215005497</v>
      </c>
      <c r="L40" s="209">
        <f>'3.Annual Costs'!G14</f>
        <v>9063109.6263690069</v>
      </c>
    </row>
    <row r="41" spans="1:12" ht="12" x14ac:dyDescent="0.25">
      <c r="A41" s="49" t="s">
        <v>76</v>
      </c>
      <c r="D41" s="94">
        <v>0.22</v>
      </c>
      <c r="E41" s="18"/>
      <c r="G41" s="209">
        <f>'3.Annual Costs'!B15</f>
        <v>5000</v>
      </c>
      <c r="H41" s="209">
        <f>'3.Annual Costs'!C15</f>
        <v>317367.64520382712</v>
      </c>
      <c r="I41" s="209">
        <f>'3.Annual Costs'!D15</f>
        <v>1655276.6144242198</v>
      </c>
      <c r="J41" s="209">
        <f>'3.Annual Costs'!E15</f>
        <v>3780285.0118999989</v>
      </c>
      <c r="K41" s="209">
        <f>'3.Annual Costs'!F15</f>
        <v>0</v>
      </c>
      <c r="L41" s="209">
        <f>'3.Annual Costs'!G15</f>
        <v>0</v>
      </c>
    </row>
    <row r="42" spans="1:12" x14ac:dyDescent="0.2">
      <c r="A42" s="105"/>
      <c r="G42" s="97"/>
      <c r="H42" s="97"/>
      <c r="I42" s="97"/>
      <c r="J42" s="97"/>
      <c r="K42" s="97"/>
      <c r="L42" s="97"/>
    </row>
    <row r="43" spans="1:12" x14ac:dyDescent="0.2">
      <c r="A43" s="48"/>
    </row>
    <row r="44" spans="1:12" s="116" customFormat="1" ht="15" x14ac:dyDescent="0.2">
      <c r="A44" s="115" t="s">
        <v>13</v>
      </c>
    </row>
    <row r="46" spans="1:12" ht="12" x14ac:dyDescent="0.25">
      <c r="A46" s="19" t="s">
        <v>113</v>
      </c>
    </row>
    <row r="47" spans="1:12" x14ac:dyDescent="0.2">
      <c r="G47" s="54"/>
      <c r="H47" s="54"/>
      <c r="I47" s="54"/>
      <c r="J47" s="54"/>
      <c r="K47" s="54"/>
      <c r="L47" s="54"/>
    </row>
    <row r="48" spans="1:12" x14ac:dyDescent="0.2">
      <c r="A48" s="52" t="s">
        <v>81</v>
      </c>
      <c r="G48" s="54">
        <f t="shared" ref="G48:L49" si="3">G55+G66</f>
        <v>257366.66666666666</v>
      </c>
      <c r="H48" s="54">
        <f t="shared" si="3"/>
        <v>580051.46780574066</v>
      </c>
      <c r="I48" s="54">
        <f t="shared" ca="1" si="3"/>
        <v>30874017.336396739</v>
      </c>
      <c r="J48" s="54">
        <f t="shared" si="3"/>
        <v>5894427.5178499985</v>
      </c>
      <c r="K48" s="54">
        <f t="shared" si="3"/>
        <v>8905249.4628268033</v>
      </c>
      <c r="L48" s="54">
        <f t="shared" si="3"/>
        <v>12317447.338742182</v>
      </c>
    </row>
    <row r="49" spans="1:13" x14ac:dyDescent="0.2">
      <c r="A49" s="52" t="s">
        <v>114</v>
      </c>
      <c r="G49" s="56">
        <f t="shared" si="3"/>
        <v>-51473.333333333336</v>
      </c>
      <c r="H49" s="56">
        <f t="shared" si="3"/>
        <v>-162536.96022781479</v>
      </c>
      <c r="I49" s="56">
        <f t="shared" ca="1" si="3"/>
        <v>-3932556.2655754923</v>
      </c>
      <c r="J49" s="56">
        <f t="shared" ca="1" si="3"/>
        <v>-4303749.7209465895</v>
      </c>
      <c r="K49" s="56">
        <f t="shared" ca="1" si="3"/>
        <v>-4624320.6545708533</v>
      </c>
      <c r="L49" s="56">
        <f t="shared" ca="1" si="3"/>
        <v>-5071589.2961296663</v>
      </c>
    </row>
    <row r="50" spans="1:13" s="19" customFormat="1" ht="12" x14ac:dyDescent="0.25">
      <c r="A50" s="80" t="s">
        <v>113</v>
      </c>
      <c r="B50" s="80"/>
      <c r="C50" s="80"/>
      <c r="D50" s="80"/>
      <c r="E50" s="80"/>
      <c r="F50" s="80"/>
      <c r="G50" s="88">
        <f t="shared" ref="G50:L50" si="4">G48+G49+F50</f>
        <v>205893.33333333331</v>
      </c>
      <c r="H50" s="88">
        <f t="shared" si="4"/>
        <v>623407.84091125918</v>
      </c>
      <c r="I50" s="88">
        <f t="shared" ca="1" si="4"/>
        <v>27564868.911732506</v>
      </c>
      <c r="J50" s="88">
        <f t="shared" ca="1" si="4"/>
        <v>29155546.708635915</v>
      </c>
      <c r="K50" s="88">
        <f t="shared" ca="1" si="4"/>
        <v>33436475.516891867</v>
      </c>
      <c r="L50" s="88">
        <f t="shared" ca="1" si="4"/>
        <v>40682333.559504382</v>
      </c>
    </row>
    <row r="53" spans="1:13" ht="12" x14ac:dyDescent="0.25">
      <c r="A53" s="19" t="s">
        <v>168</v>
      </c>
    </row>
    <row r="54" spans="1:13" x14ac:dyDescent="0.2">
      <c r="G54" s="54"/>
      <c r="H54" s="54"/>
      <c r="I54" s="54"/>
      <c r="J54" s="54"/>
      <c r="K54" s="54"/>
      <c r="L54" s="54"/>
    </row>
    <row r="55" spans="1:13" x14ac:dyDescent="0.2">
      <c r="A55" s="52" t="s">
        <v>81</v>
      </c>
      <c r="G55" s="54">
        <f t="shared" ref="G55:L56" si="5">G59+G61</f>
        <v>0</v>
      </c>
      <c r="H55" s="54">
        <f t="shared" si="5"/>
        <v>104000</v>
      </c>
      <c r="I55" s="54">
        <f t="shared" ca="1" si="5"/>
        <v>22341102.414760411</v>
      </c>
      <c r="J55" s="54">
        <f t="shared" si="5"/>
        <v>224000</v>
      </c>
      <c r="K55" s="54">
        <f t="shared" si="5"/>
        <v>336000</v>
      </c>
      <c r="L55" s="54">
        <f t="shared" si="5"/>
        <v>496000</v>
      </c>
    </row>
    <row r="56" spans="1:13" x14ac:dyDescent="0.2">
      <c r="A56" s="52" t="s">
        <v>114</v>
      </c>
      <c r="G56" s="56">
        <f t="shared" si="5"/>
        <v>0</v>
      </c>
      <c r="H56" s="56">
        <f t="shared" si="5"/>
        <v>-20800</v>
      </c>
      <c r="I56" s="56">
        <f t="shared" ca="1" si="5"/>
        <v>-2269710.2414760413</v>
      </c>
      <c r="J56" s="56">
        <f t="shared" ca="1" si="5"/>
        <v>-2314510.2414760413</v>
      </c>
      <c r="K56" s="56">
        <f t="shared" ca="1" si="5"/>
        <v>-2381710.2414760413</v>
      </c>
      <c r="L56" s="56">
        <f t="shared" ca="1" si="5"/>
        <v>-2480910.2414760413</v>
      </c>
    </row>
    <row r="57" spans="1:13" s="19" customFormat="1" ht="12" x14ac:dyDescent="0.25">
      <c r="A57" s="80" t="s">
        <v>168</v>
      </c>
      <c r="B57" s="80"/>
      <c r="C57" s="80"/>
      <c r="D57" s="80"/>
      <c r="E57" s="80"/>
      <c r="F57" s="80"/>
      <c r="G57" s="88">
        <f t="shared" ref="G57:L57" si="6">G55+G56+F57</f>
        <v>0</v>
      </c>
      <c r="H57" s="88">
        <f t="shared" si="6"/>
        <v>83200</v>
      </c>
      <c r="I57" s="88">
        <f t="shared" ca="1" si="6"/>
        <v>20154592.17328437</v>
      </c>
      <c r="J57" s="88">
        <f t="shared" ca="1" si="6"/>
        <v>18064081.93180833</v>
      </c>
      <c r="K57" s="88">
        <f t="shared" ca="1" si="6"/>
        <v>16018371.69033229</v>
      </c>
      <c r="L57" s="88">
        <f t="shared" ca="1" si="6"/>
        <v>14033461.448856249</v>
      </c>
    </row>
    <row r="58" spans="1:13" ht="12" x14ac:dyDescent="0.25">
      <c r="B58" s="19" t="s">
        <v>29</v>
      </c>
      <c r="D58" s="1" t="s">
        <v>30</v>
      </c>
      <c r="G58" s="54"/>
      <c r="H58" s="54"/>
      <c r="I58" s="54"/>
      <c r="J58" s="54"/>
      <c r="K58" s="54"/>
      <c r="L58" s="54"/>
    </row>
    <row r="59" spans="1:13" x14ac:dyDescent="0.2">
      <c r="A59" s="104" t="s">
        <v>116</v>
      </c>
      <c r="G59" s="21">
        <f>'5.Investments'!B6</f>
        <v>0</v>
      </c>
      <c r="H59" s="21">
        <f>'5.Investments'!C6</f>
        <v>0</v>
      </c>
      <c r="I59" s="21">
        <f ca="1">'5.Investments'!D6</f>
        <v>22193102.414760411</v>
      </c>
      <c r="J59" s="21">
        <f>'5.Investments'!E6</f>
        <v>0</v>
      </c>
      <c r="K59" s="21">
        <f>'5.Investments'!F6</f>
        <v>0</v>
      </c>
      <c r="L59" s="21">
        <f>'5.Investments'!G6</f>
        <v>0</v>
      </c>
    </row>
    <row r="60" spans="1:13" ht="12" x14ac:dyDescent="0.25">
      <c r="A60" s="109" t="s">
        <v>114</v>
      </c>
      <c r="B60" s="94">
        <v>0.1</v>
      </c>
      <c r="C60" s="107"/>
      <c r="D60" s="94">
        <v>0.22</v>
      </c>
      <c r="G60" s="79">
        <f t="shared" ref="G60:L60" si="7">-IF(G59=0,-F60,(G59*$B60)+F60)</f>
        <v>0</v>
      </c>
      <c r="H60" s="79">
        <f t="shared" si="7"/>
        <v>0</v>
      </c>
      <c r="I60" s="79">
        <f t="shared" ca="1" si="7"/>
        <v>-2219310.2414760413</v>
      </c>
      <c r="J60" s="79">
        <f t="shared" ca="1" si="7"/>
        <v>-2219310.2414760413</v>
      </c>
      <c r="K60" s="79">
        <f t="shared" ca="1" si="7"/>
        <v>-2219310.2414760413</v>
      </c>
      <c r="L60" s="79">
        <f t="shared" ca="1" si="7"/>
        <v>-2219310.2414760413</v>
      </c>
      <c r="M60" s="79"/>
    </row>
    <row r="61" spans="1:13" x14ac:dyDescent="0.2">
      <c r="A61" s="104" t="str">
        <f>'5.Investments'!A10</f>
        <v>Furniture and office material</v>
      </c>
      <c r="B61" s="98"/>
      <c r="C61" s="108"/>
      <c r="D61" s="98"/>
      <c r="G61" s="50">
        <f>'5.Investments'!B10</f>
        <v>0</v>
      </c>
      <c r="H61" s="50">
        <f>'5.Investments'!C10</f>
        <v>104000</v>
      </c>
      <c r="I61" s="50">
        <f>'5.Investments'!D10</f>
        <v>148000</v>
      </c>
      <c r="J61" s="50">
        <f>'5.Investments'!E10</f>
        <v>224000</v>
      </c>
      <c r="K61" s="50">
        <f>'5.Investments'!F10</f>
        <v>336000</v>
      </c>
      <c r="L61" s="50">
        <f>'5.Investments'!G10</f>
        <v>496000</v>
      </c>
    </row>
    <row r="62" spans="1:13" ht="12" x14ac:dyDescent="0.25">
      <c r="A62" s="109" t="s">
        <v>114</v>
      </c>
      <c r="B62" s="94">
        <v>0.2</v>
      </c>
      <c r="C62" s="108"/>
      <c r="D62" s="94">
        <v>0.22</v>
      </c>
      <c r="G62" s="79">
        <f>-IF(G61=0,-F62,(G61*$B62)+F62)</f>
        <v>0</v>
      </c>
      <c r="H62" s="79">
        <f>-IF(H61=0,-G62,(H61*$B62)+G62)</f>
        <v>-20800</v>
      </c>
      <c r="I62" s="79">
        <f>-IF(I61=0,-H62,(I61*$B62)-H62)</f>
        <v>-50400</v>
      </c>
      <c r="J62" s="79">
        <f>-IF(J61=0,-I62,(J61*$B62)-I62)</f>
        <v>-95200</v>
      </c>
      <c r="K62" s="79">
        <f>-IF(K61=0,-J62,(K61*$B62)-J62)</f>
        <v>-162400</v>
      </c>
      <c r="L62" s="79">
        <f>-IF(L61=0,-K62,(L61*$B62)-K62)</f>
        <v>-261600</v>
      </c>
    </row>
    <row r="63" spans="1:13" x14ac:dyDescent="0.2">
      <c r="A63" s="49"/>
      <c r="B63" s="55"/>
      <c r="C63" s="55"/>
      <c r="D63" s="55"/>
      <c r="G63" s="79"/>
      <c r="H63" s="79"/>
      <c r="I63" s="79"/>
      <c r="J63" s="79"/>
      <c r="K63" s="79"/>
      <c r="L63" s="79"/>
    </row>
    <row r="64" spans="1:13" ht="12" x14ac:dyDescent="0.25">
      <c r="A64" s="19" t="s">
        <v>115</v>
      </c>
    </row>
    <row r="65" spans="1:12" x14ac:dyDescent="0.2">
      <c r="G65" s="54"/>
      <c r="H65" s="54"/>
      <c r="I65" s="54"/>
      <c r="J65" s="54"/>
      <c r="K65" s="54"/>
      <c r="L65" s="54"/>
    </row>
    <row r="66" spans="1:12" x14ac:dyDescent="0.2">
      <c r="A66" s="52" t="s">
        <v>81</v>
      </c>
      <c r="G66" s="54">
        <f t="shared" ref="G66:L67" si="8">G76+G74+G72+G70</f>
        <v>257366.66666666666</v>
      </c>
      <c r="H66" s="54">
        <f t="shared" si="8"/>
        <v>476051.46780574066</v>
      </c>
      <c r="I66" s="54">
        <f t="shared" si="8"/>
        <v>8532914.92163633</v>
      </c>
      <c r="J66" s="54">
        <f t="shared" si="8"/>
        <v>5670427.5178499985</v>
      </c>
      <c r="K66" s="54">
        <f t="shared" si="8"/>
        <v>8569249.4628268033</v>
      </c>
      <c r="L66" s="54">
        <f t="shared" si="8"/>
        <v>11821447.338742182</v>
      </c>
    </row>
    <row r="67" spans="1:12" x14ac:dyDescent="0.2">
      <c r="A67" s="52" t="s">
        <v>114</v>
      </c>
      <c r="G67" s="56">
        <f t="shared" si="8"/>
        <v>-51473.333333333336</v>
      </c>
      <c r="H67" s="56">
        <f t="shared" si="8"/>
        <v>-141736.96022781479</v>
      </c>
      <c r="I67" s="56">
        <f t="shared" si="8"/>
        <v>-1662846.024099451</v>
      </c>
      <c r="J67" s="56">
        <f t="shared" si="8"/>
        <v>-1989239.4794705487</v>
      </c>
      <c r="K67" s="56">
        <f t="shared" si="8"/>
        <v>-2242610.4130948121</v>
      </c>
      <c r="L67" s="56">
        <f t="shared" si="8"/>
        <v>-2590679.0546536245</v>
      </c>
    </row>
    <row r="68" spans="1:12" s="19" customFormat="1" ht="12" x14ac:dyDescent="0.25">
      <c r="A68" s="80" t="s">
        <v>115</v>
      </c>
      <c r="B68" s="80"/>
      <c r="C68" s="80"/>
      <c r="D68" s="80"/>
      <c r="E68" s="80"/>
      <c r="F68" s="80"/>
      <c r="G68" s="88">
        <f t="shared" ref="G68:L68" si="9">G66+G67+F68</f>
        <v>205893.33333333331</v>
      </c>
      <c r="H68" s="88">
        <f t="shared" si="9"/>
        <v>540207.84091125918</v>
      </c>
      <c r="I68" s="88">
        <f t="shared" si="9"/>
        <v>7410276.7384481383</v>
      </c>
      <c r="J68" s="88">
        <f t="shared" si="9"/>
        <v>11091464.776827589</v>
      </c>
      <c r="K68" s="88">
        <f t="shared" si="9"/>
        <v>17418103.826559581</v>
      </c>
      <c r="L68" s="88">
        <f t="shared" si="9"/>
        <v>26648872.11064814</v>
      </c>
    </row>
    <row r="69" spans="1:12" x14ac:dyDescent="0.2">
      <c r="A69" s="49"/>
      <c r="B69" s="55"/>
      <c r="C69" s="55"/>
      <c r="D69" s="55"/>
      <c r="G69" s="79"/>
      <c r="H69" s="79"/>
      <c r="I69" s="79"/>
      <c r="J69" s="79"/>
      <c r="K69" s="79"/>
      <c r="L69" s="79"/>
    </row>
    <row r="70" spans="1:12" x14ac:dyDescent="0.2">
      <c r="A70" s="52" t="s">
        <v>201</v>
      </c>
      <c r="B70" s="55"/>
      <c r="C70" s="55"/>
      <c r="D70" s="55"/>
      <c r="G70" s="50">
        <f>SUM('2.Launch costs'!B4:B11)</f>
        <v>245000</v>
      </c>
      <c r="H70" s="79"/>
      <c r="I70" s="79"/>
      <c r="J70" s="79"/>
      <c r="K70" s="79"/>
      <c r="L70" s="79"/>
    </row>
    <row r="71" spans="1:12" ht="12" x14ac:dyDescent="0.25">
      <c r="A71" s="109" t="s">
        <v>114</v>
      </c>
      <c r="B71" s="94">
        <v>0.2</v>
      </c>
      <c r="C71" s="55"/>
      <c r="D71" s="94">
        <v>0.1</v>
      </c>
      <c r="G71" s="79">
        <f>-IF(G70=0,-F71,(G70*$B71)+F71)</f>
        <v>-49000</v>
      </c>
      <c r="H71" s="79">
        <f>-IF(H70=0,-G71,(H70*$B71)+G71)</f>
        <v>-49000</v>
      </c>
      <c r="I71" s="79">
        <f>-IF(I70=0,-H71,(I70*$B71)+H71)</f>
        <v>-49000</v>
      </c>
      <c r="J71" s="79">
        <f>-IF(J70=0,-I71,(J70*$B71)+I71)</f>
        <v>-49000</v>
      </c>
      <c r="K71" s="79">
        <f>-IF(K70=0,-J71,(K70*$B71)+J71)</f>
        <v>-49000</v>
      </c>
      <c r="L71" s="79"/>
    </row>
    <row r="72" spans="1:12" x14ac:dyDescent="0.2">
      <c r="A72" s="52" t="str">
        <f>'5.Investments'!A7</f>
        <v>Holding constitution</v>
      </c>
      <c r="B72" s="55"/>
      <c r="C72" s="55"/>
      <c r="D72" s="55"/>
      <c r="G72" s="50">
        <f>'5.Investments'!B7</f>
        <v>0</v>
      </c>
      <c r="H72" s="50">
        <f>'5.Investments'!C7</f>
        <v>0</v>
      </c>
      <c r="I72" s="50">
        <f>'5.Investments'!D7</f>
        <v>6050000</v>
      </c>
      <c r="J72" s="50">
        <f>'5.Investments'!E7</f>
        <v>0</v>
      </c>
      <c r="K72" s="50">
        <f>'5.Investments'!F7</f>
        <v>0</v>
      </c>
      <c r="L72" s="50">
        <f>'5.Investments'!G7</f>
        <v>0</v>
      </c>
    </row>
    <row r="73" spans="1:12" ht="12" x14ac:dyDescent="0.25">
      <c r="A73" s="109" t="s">
        <v>114</v>
      </c>
      <c r="B73" s="94">
        <v>0.2</v>
      </c>
      <c r="C73" s="55"/>
      <c r="D73" s="94">
        <v>0.22</v>
      </c>
      <c r="G73" s="79">
        <f t="shared" ref="G73:L73" si="10">-IF(G72=0,-F73,(G72*$B73)+F73)</f>
        <v>0</v>
      </c>
      <c r="H73" s="79">
        <f t="shared" si="10"/>
        <v>0</v>
      </c>
      <c r="I73" s="79">
        <f t="shared" si="10"/>
        <v>-1210000</v>
      </c>
      <c r="J73" s="79">
        <f t="shared" si="10"/>
        <v>-1210000</v>
      </c>
      <c r="K73" s="79">
        <f t="shared" si="10"/>
        <v>-1210000</v>
      </c>
      <c r="L73" s="79">
        <f t="shared" si="10"/>
        <v>-1210000</v>
      </c>
    </row>
    <row r="74" spans="1:12" x14ac:dyDescent="0.2">
      <c r="A74" s="52" t="str">
        <f>'5.Investments'!A8</f>
        <v>Technology R&amp;D</v>
      </c>
      <c r="B74" s="55"/>
      <c r="C74" s="55"/>
      <c r="D74" s="55"/>
      <c r="G74" s="50">
        <f>'5.Investments'!B8</f>
        <v>12366.66666666667</v>
      </c>
      <c r="H74" s="50">
        <f>'5.Investments'!C8</f>
        <v>317367.64520382712</v>
      </c>
      <c r="I74" s="50">
        <f>'5.Investments'!D8</f>
        <v>1655276.6144242198</v>
      </c>
      <c r="J74" s="50">
        <f>'5.Investments'!E8</f>
        <v>3780285.0118999989</v>
      </c>
      <c r="K74" s="50">
        <f>'5.Investments'!F8</f>
        <v>5712832.9752178695</v>
      </c>
      <c r="L74" s="50">
        <f>'5.Investments'!G8</f>
        <v>7880964.8924947884</v>
      </c>
    </row>
    <row r="75" spans="1:12" ht="12" x14ac:dyDescent="0.25">
      <c r="A75" s="109" t="s">
        <v>114</v>
      </c>
      <c r="B75" s="94">
        <v>0.2</v>
      </c>
      <c r="C75" s="55"/>
      <c r="D75" s="94">
        <v>0.22</v>
      </c>
      <c r="G75" s="79">
        <f t="shared" ref="G75:L75" si="11">-IF(G74=0,-F75,(G74*$B75)+F75)</f>
        <v>-2473.3333333333339</v>
      </c>
      <c r="H75" s="79">
        <f t="shared" si="11"/>
        <v>-61000.195707432089</v>
      </c>
      <c r="I75" s="79">
        <f t="shared" si="11"/>
        <v>-270055.12717741186</v>
      </c>
      <c r="J75" s="79">
        <f t="shared" si="11"/>
        <v>-486001.87520258798</v>
      </c>
      <c r="K75" s="79">
        <f t="shared" si="11"/>
        <v>-656564.71984098596</v>
      </c>
      <c r="L75" s="79">
        <f t="shared" si="11"/>
        <v>-919628.25865797186</v>
      </c>
    </row>
    <row r="76" spans="1:12" x14ac:dyDescent="0.2">
      <c r="A76" s="52" t="str">
        <f>'5.Investments'!A9</f>
        <v>IT Infrastructure Costs Server disaster management</v>
      </c>
      <c r="C76" s="55"/>
      <c r="D76" s="55"/>
      <c r="G76" s="50">
        <f>'5.Investments'!B9</f>
        <v>0</v>
      </c>
      <c r="H76" s="50">
        <f>'5.Investments'!C9</f>
        <v>158683.82260191356</v>
      </c>
      <c r="I76" s="50">
        <f>'5.Investments'!D9</f>
        <v>827638.30721210991</v>
      </c>
      <c r="J76" s="50">
        <f>'5.Investments'!E9</f>
        <v>1890142.5059499994</v>
      </c>
      <c r="K76" s="50">
        <f>'5.Investments'!F9</f>
        <v>2856416.4876089348</v>
      </c>
      <c r="L76" s="50">
        <f>'5.Investments'!G9</f>
        <v>3940482.4462473942</v>
      </c>
    </row>
    <row r="77" spans="1:12" ht="12" x14ac:dyDescent="0.25">
      <c r="A77" s="109" t="s">
        <v>114</v>
      </c>
      <c r="B77" s="94">
        <v>0.2</v>
      </c>
      <c r="C77" s="107"/>
      <c r="D77" s="94">
        <v>0.22</v>
      </c>
      <c r="G77" s="79">
        <f t="shared" ref="G77:L77" si="12">-IF(G76=0,-F77,(G76*$B77)+F77)</f>
        <v>0</v>
      </c>
      <c r="H77" s="79">
        <f t="shared" si="12"/>
        <v>-31736.764520382712</v>
      </c>
      <c r="I77" s="79">
        <f t="shared" si="12"/>
        <v>-133790.89692203928</v>
      </c>
      <c r="J77" s="79">
        <f t="shared" si="12"/>
        <v>-244237.60426796065</v>
      </c>
      <c r="K77" s="79">
        <f t="shared" si="12"/>
        <v>-327045.69325382635</v>
      </c>
      <c r="L77" s="79">
        <f t="shared" si="12"/>
        <v>-461050.79599565256</v>
      </c>
    </row>
    <row r="78" spans="1:12" s="14" customFormat="1" x14ac:dyDescent="0.2">
      <c r="B78" s="110"/>
      <c r="C78" s="110"/>
      <c r="D78" s="110"/>
    </row>
    <row r="79" spans="1:12" x14ac:dyDescent="0.2">
      <c r="B79" s="98"/>
      <c r="C79" s="98"/>
      <c r="D79" s="98"/>
    </row>
    <row r="80" spans="1:12" ht="12" x14ac:dyDescent="0.25">
      <c r="A80" s="19" t="s">
        <v>117</v>
      </c>
    </row>
    <row r="83" spans="1:13" x14ac:dyDescent="0.2">
      <c r="A83" s="5" t="s">
        <v>123</v>
      </c>
      <c r="G83" s="58">
        <f t="shared" ref="G83:L83" si="13">G13*(1+$D$13)</f>
        <v>754366.66666666686</v>
      </c>
      <c r="H83" s="58">
        <f t="shared" si="13"/>
        <v>19359426.357433453</v>
      </c>
      <c r="I83" s="58">
        <f t="shared" si="13"/>
        <v>100971873.4798774</v>
      </c>
      <c r="J83" s="58">
        <f t="shared" si="13"/>
        <v>230597385.72589993</v>
      </c>
      <c r="K83" s="58">
        <f t="shared" si="13"/>
        <v>348482811.48829001</v>
      </c>
      <c r="L83" s="58">
        <f t="shared" si="13"/>
        <v>480738858.44218206</v>
      </c>
    </row>
    <row r="84" spans="1:13" x14ac:dyDescent="0.2">
      <c r="A84" s="49" t="s">
        <v>118</v>
      </c>
      <c r="B84" s="5"/>
      <c r="D84" s="53">
        <v>0.99</v>
      </c>
      <c r="G84" s="56">
        <f>-G83*$D$84</f>
        <v>-746823.00000000023</v>
      </c>
      <c r="H84" s="56">
        <f>-(H83-H86)*$D$84</f>
        <v>-17590558.223130971</v>
      </c>
      <c r="I84" s="56">
        <f>-(I83-I86)*$D$84</f>
        <v>-91746087.231784493</v>
      </c>
      <c r="J84" s="56">
        <f>-(J83-J86)*$D$84</f>
        <v>-209527734.18080744</v>
      </c>
      <c r="K84" s="56">
        <f>-(K83-K86)*$D$84</f>
        <v>-316641984.73997635</v>
      </c>
      <c r="L84" s="56">
        <f>-(L83-L86)*$D$84</f>
        <v>-436813814.80095804</v>
      </c>
    </row>
    <row r="85" spans="1:13" x14ac:dyDescent="0.2">
      <c r="A85" s="49" t="s">
        <v>119</v>
      </c>
      <c r="B85" s="5"/>
      <c r="D85" s="62">
        <f>1-D84</f>
        <v>1.0000000000000009E-2</v>
      </c>
      <c r="G85" s="56">
        <f t="shared" ref="G85:L85" si="14">-(G83-G86)*$D$85</f>
        <v>-6923.6392694064016</v>
      </c>
      <c r="H85" s="56">
        <f t="shared" si="14"/>
        <v>-177682.4062942524</v>
      </c>
      <c r="I85" s="56">
        <f t="shared" si="14"/>
        <v>-926728.15385640983</v>
      </c>
      <c r="J85" s="56">
        <f t="shared" si="14"/>
        <v>-2116441.7594020972</v>
      </c>
      <c r="K85" s="56">
        <f t="shared" si="14"/>
        <v>-3198403.8862623903</v>
      </c>
      <c r="L85" s="56">
        <f t="shared" si="14"/>
        <v>-4412260.7555652363</v>
      </c>
    </row>
    <row r="86" spans="1:13" x14ac:dyDescent="0.2">
      <c r="A86" s="5" t="s">
        <v>120</v>
      </c>
      <c r="G86" s="58">
        <f t="shared" ref="G86:L86" si="15">G83/365*G87</f>
        <v>62002.739726027408</v>
      </c>
      <c r="H86" s="58">
        <f t="shared" si="15"/>
        <v>1591185.7280082291</v>
      </c>
      <c r="I86" s="58">
        <f t="shared" si="15"/>
        <v>8299058.0942364987</v>
      </c>
      <c r="J86" s="58">
        <f t="shared" si="15"/>
        <v>18953209.785690404</v>
      </c>
      <c r="K86" s="58">
        <f t="shared" si="15"/>
        <v>28642422.862051234</v>
      </c>
      <c r="L86" s="58">
        <f t="shared" si="15"/>
        <v>39512782.885658801</v>
      </c>
    </row>
    <row r="87" spans="1:13" x14ac:dyDescent="0.2">
      <c r="A87" s="5" t="s">
        <v>121</v>
      </c>
      <c r="B87" t="s">
        <v>14</v>
      </c>
      <c r="G87" s="210">
        <v>30</v>
      </c>
      <c r="H87" s="210">
        <v>30</v>
      </c>
      <c r="I87" s="210">
        <v>30</v>
      </c>
      <c r="J87" s="210">
        <v>30</v>
      </c>
      <c r="K87" s="210">
        <v>30</v>
      </c>
      <c r="L87" s="210">
        <v>30</v>
      </c>
      <c r="M87" s="61"/>
    </row>
    <row r="89" spans="1:13" x14ac:dyDescent="0.2">
      <c r="A89" s="64" t="s">
        <v>122</v>
      </c>
      <c r="G89" s="63">
        <f t="shared" ref="G89:L89" si="16">($D$39*G39+G18*$D$18+G32*$D$32+G33*$D$33+G34*$D$34+G35*$D$35+G36*$D$36+G37*$D$37+G38*$D$38+G40*$D$40+G41*$D$41)/(G18+SUM(G32:G41))</f>
        <v>0.21942257217847769</v>
      </c>
      <c r="H89" s="63">
        <f t="shared" si="16"/>
        <v>0.21857956655728403</v>
      </c>
      <c r="I89" s="63">
        <f t="shared" si="16"/>
        <v>0.2192775252226242</v>
      </c>
      <c r="J89" s="63">
        <f t="shared" si="16"/>
        <v>0.21912460601205086</v>
      </c>
      <c r="K89" s="63">
        <f t="shared" si="16"/>
        <v>0.21896193217556242</v>
      </c>
      <c r="L89" s="63">
        <f t="shared" si="16"/>
        <v>0.21883512602475449</v>
      </c>
    </row>
    <row r="91" spans="1:13" x14ac:dyDescent="0.2">
      <c r="A91" s="5" t="s">
        <v>124</v>
      </c>
      <c r="G91" s="58">
        <f t="shared" ref="G91:L91" si="17">(G18+SUM(G32:G40))*(1+G89)</f>
        <v>1387702.8871391076</v>
      </c>
      <c r="H91" s="58">
        <f t="shared" si="17"/>
        <v>9478208.9503270257</v>
      </c>
      <c r="I91" s="58">
        <f t="shared" si="17"/>
        <v>28710384.544377849</v>
      </c>
      <c r="J91" s="58">
        <f t="shared" si="17"/>
        <v>53302455.193026602</v>
      </c>
      <c r="K91" s="58">
        <f t="shared" si="17"/>
        <v>73791888.482669443</v>
      </c>
      <c r="L91" s="58">
        <f t="shared" si="17"/>
        <v>90706434.741213351</v>
      </c>
    </row>
    <row r="92" spans="1:13" x14ac:dyDescent="0.2">
      <c r="A92" s="5" t="s">
        <v>125</v>
      </c>
      <c r="G92" s="58">
        <f t="shared" ref="G92:L92" si="18">G91/365*G93</f>
        <v>114057.77154568008</v>
      </c>
      <c r="H92" s="51">
        <f t="shared" si="18"/>
        <v>779030.87262961862</v>
      </c>
      <c r="I92" s="51">
        <f t="shared" si="18"/>
        <v>2359757.6337844804</v>
      </c>
      <c r="J92" s="51">
        <f t="shared" si="18"/>
        <v>4381023.7144953376</v>
      </c>
      <c r="K92" s="51">
        <f t="shared" si="18"/>
        <v>6065086.7246029684</v>
      </c>
      <c r="L92" s="51">
        <f t="shared" si="18"/>
        <v>7455323.4033873985</v>
      </c>
    </row>
    <row r="93" spans="1:13" x14ac:dyDescent="0.2">
      <c r="A93" s="5" t="s">
        <v>126</v>
      </c>
      <c r="B93" t="s">
        <v>14</v>
      </c>
      <c r="G93" s="210">
        <v>30</v>
      </c>
      <c r="H93" s="210">
        <v>30</v>
      </c>
      <c r="I93" s="210">
        <v>30</v>
      </c>
      <c r="J93" s="210">
        <v>30</v>
      </c>
      <c r="K93" s="210">
        <v>30</v>
      </c>
      <c r="L93" s="210">
        <v>30</v>
      </c>
      <c r="M93" s="60"/>
    </row>
    <row r="96" spans="1:13" x14ac:dyDescent="0.2">
      <c r="A96" s="5" t="s">
        <v>128</v>
      </c>
      <c r="G96" s="91">
        <f t="shared" ref="G96:L96" si="19">-(G13*$D$13)</f>
        <v>-136033.33333333337</v>
      </c>
      <c r="H96" s="91">
        <f t="shared" si="19"/>
        <v>-3491044.0972420983</v>
      </c>
      <c r="I96" s="91">
        <f t="shared" si="19"/>
        <v>-18208042.758666418</v>
      </c>
      <c r="J96" s="91">
        <f t="shared" si="19"/>
        <v>-41583135.130899988</v>
      </c>
      <c r="K96" s="91">
        <f t="shared" si="19"/>
        <v>-62841162.727396563</v>
      </c>
      <c r="L96" s="91">
        <f t="shared" si="19"/>
        <v>-86690613.81744267</v>
      </c>
    </row>
    <row r="97" spans="1:12" x14ac:dyDescent="0.2">
      <c r="A97" s="5" t="s">
        <v>129</v>
      </c>
      <c r="G97" s="58">
        <f t="shared" ref="G97:L97" si="20">(G39*$D$39+G18*$D$18+G32*$D$32+G33*$D$33+G34*$D$34+G35*$D$35+G36*$D$36+G37*$D$37+G38*$D$38+G40*$D$40+G41*$D$41)</f>
        <v>250800</v>
      </c>
      <c r="H97" s="58">
        <f t="shared" si="20"/>
        <v>1769499.3647800791</v>
      </c>
      <c r="I97" s="58">
        <f t="shared" si="20"/>
        <v>5526303.0354779912</v>
      </c>
      <c r="J97" s="58">
        <f t="shared" si="20"/>
        <v>10408899.567212328</v>
      </c>
      <c r="K97" s="58">
        <f t="shared" si="20"/>
        <v>13255224.838901542</v>
      </c>
      <c r="L97" s="58">
        <f t="shared" si="20"/>
        <v>16285840.187909422</v>
      </c>
    </row>
    <row r="98" spans="1:12" x14ac:dyDescent="0.2">
      <c r="A98" s="5" t="s">
        <v>130</v>
      </c>
      <c r="G98" s="92">
        <f t="shared" ref="G98:L98" si="21">(G59*$D$60+G61*$D$6+G72*$D$73+G74*$D$75+G76*$D$77)</f>
        <v>2720.6666666666674</v>
      </c>
      <c r="H98" s="92">
        <f t="shared" si="21"/>
        <v>104731.32291726295</v>
      </c>
      <c r="I98" s="92">
        <f t="shared" ca="1" si="21"/>
        <v>6759723.8140072832</v>
      </c>
      <c r="J98" s="92">
        <f t="shared" si="21"/>
        <v>1247494.0539269997</v>
      </c>
      <c r="K98" s="92">
        <f t="shared" si="21"/>
        <v>1885234.8818218969</v>
      </c>
      <c r="L98" s="92">
        <f t="shared" si="21"/>
        <v>2600718.4145232802</v>
      </c>
    </row>
    <row r="100" spans="1:12" s="19" customFormat="1" ht="12" x14ac:dyDescent="0.25">
      <c r="A100" s="5" t="s">
        <v>131</v>
      </c>
      <c r="G100" s="100">
        <f t="shared" ref="G100:L100" si="22">SUM(G96:G98)+F100</f>
        <v>117487.3333333333</v>
      </c>
      <c r="H100" s="100">
        <f t="shared" si="22"/>
        <v>-1499326.0762114229</v>
      </c>
      <c r="I100" s="100">
        <f t="shared" ca="1" si="22"/>
        <v>-7421341.9853925658</v>
      </c>
      <c r="J100" s="100">
        <f t="shared" ca="1" si="22"/>
        <v>-37348083.495153226</v>
      </c>
      <c r="K100" s="100">
        <f t="shared" ca="1" si="22"/>
        <v>-85048786.501826346</v>
      </c>
      <c r="L100" s="100">
        <f t="shared" ca="1" si="22"/>
        <v>-152852841.71683633</v>
      </c>
    </row>
    <row r="101" spans="1:12" x14ac:dyDescent="0.2">
      <c r="A101" s="25" t="s">
        <v>34</v>
      </c>
      <c r="C101" s="316" t="s">
        <v>139</v>
      </c>
      <c r="D101" s="317"/>
      <c r="E101" s="317"/>
      <c r="F101" s="317"/>
      <c r="G101" s="79">
        <f t="shared" ref="G101:L101" si="23">-F100</f>
        <v>0</v>
      </c>
      <c r="H101" s="79">
        <f t="shared" si="23"/>
        <v>-117487.3333333333</v>
      </c>
      <c r="I101" s="79">
        <f t="shared" si="23"/>
        <v>1499326.0762114229</v>
      </c>
      <c r="J101" s="79">
        <f t="shared" ca="1" si="23"/>
        <v>7421341.9853925658</v>
      </c>
      <c r="K101" s="79">
        <f t="shared" ca="1" si="23"/>
        <v>37348083.495153226</v>
      </c>
      <c r="L101" s="79">
        <f t="shared" ca="1" si="23"/>
        <v>85048786.501826346</v>
      </c>
    </row>
    <row r="102" spans="1:12" x14ac:dyDescent="0.2">
      <c r="A102" s="25"/>
      <c r="G102" s="79"/>
      <c r="H102" s="79"/>
      <c r="I102" s="79"/>
      <c r="J102" s="79"/>
      <c r="K102" s="79"/>
      <c r="L102" s="79"/>
    </row>
    <row r="103" spans="1:12" ht="12" x14ac:dyDescent="0.25">
      <c r="A103" s="19" t="s">
        <v>127</v>
      </c>
      <c r="G103" s="85">
        <f t="shared" ref="G103:L103" si="24">G100+G101</f>
        <v>117487.3333333333</v>
      </c>
      <c r="H103" s="85">
        <f t="shared" si="24"/>
        <v>-1616813.4095447562</v>
      </c>
      <c r="I103" s="85">
        <f t="shared" ca="1" si="24"/>
        <v>-5922015.9091811432</v>
      </c>
      <c r="J103" s="85">
        <f t="shared" ca="1" si="24"/>
        <v>-29926741.509760659</v>
      </c>
      <c r="K103" s="85">
        <f t="shared" ca="1" si="24"/>
        <v>-47700703.00667312</v>
      </c>
      <c r="L103" s="85">
        <f t="shared" ca="1" si="24"/>
        <v>-67804055.215009987</v>
      </c>
    </row>
    <row r="104" spans="1:12" x14ac:dyDescent="0.2">
      <c r="A104" s="74"/>
      <c r="D104" s="74"/>
      <c r="E104" s="74"/>
      <c r="F104" s="74"/>
      <c r="G104" s="74"/>
      <c r="H104" s="74"/>
      <c r="L104" s="74"/>
    </row>
    <row r="105" spans="1:12" s="112" customFormat="1" ht="12" x14ac:dyDescent="0.25">
      <c r="A105" s="112" t="s">
        <v>134</v>
      </c>
      <c r="G105" s="114">
        <f t="shared" ref="G105:L105" si="25">SUM(G107:G108)</f>
        <v>8422.1033437302194</v>
      </c>
      <c r="H105" s="113">
        <f>SUM(H107:H108)</f>
        <v>314722.67601744365</v>
      </c>
      <c r="I105" s="113">
        <f>SUM(I107:I108)</f>
        <v>1436844.090902166</v>
      </c>
      <c r="J105" s="113">
        <f t="shared" si="25"/>
        <v>3738559.2242363635</v>
      </c>
      <c r="K105" s="113">
        <f t="shared" si="25"/>
        <v>6538542.7497016126</v>
      </c>
      <c r="L105" s="113">
        <f t="shared" si="25"/>
        <v>9173516.4594354723</v>
      </c>
    </row>
    <row r="106" spans="1:12" ht="12" x14ac:dyDescent="0.25">
      <c r="A106" s="19"/>
      <c r="G106" s="58"/>
    </row>
    <row r="107" spans="1:12" x14ac:dyDescent="0.2">
      <c r="A107" s="5" t="s">
        <v>133</v>
      </c>
      <c r="G107" s="57">
        <f t="shared" ref="G107:L107" si="26">+F107+G25</f>
        <v>1498.4640743238181</v>
      </c>
      <c r="H107" s="57">
        <f t="shared" si="26"/>
        <v>130116.63045378485</v>
      </c>
      <c r="I107" s="57">
        <f t="shared" si="26"/>
        <v>332433.53075150371</v>
      </c>
      <c r="J107" s="57">
        <f t="shared" si="26"/>
        <v>702312.9502472626</v>
      </c>
      <c r="K107" s="57">
        <f t="shared" si="26"/>
        <v>1408303.1496007845</v>
      </c>
      <c r="L107" s="57">
        <f t="shared" si="26"/>
        <v>2667262.3777585095</v>
      </c>
    </row>
    <row r="108" spans="1:12" x14ac:dyDescent="0.2">
      <c r="A108" s="5" t="s">
        <v>132</v>
      </c>
      <c r="G108" s="58">
        <f>F108-G85+G109</f>
        <v>6923.6392694064016</v>
      </c>
      <c r="H108" s="57">
        <f>+G108-H85+H109</f>
        <v>184606.04556365882</v>
      </c>
      <c r="I108" s="57">
        <f>+H108-I85+I109</f>
        <v>1104410.5601506622</v>
      </c>
      <c r="J108" s="57">
        <f>+I108-J85+J109</f>
        <v>3036246.2739891009</v>
      </c>
      <c r="K108" s="57">
        <f>+J108-K85+K109</f>
        <v>5130239.6001008283</v>
      </c>
      <c r="L108" s="57">
        <f>+K108-L85+L109</f>
        <v>6506254.0816769628</v>
      </c>
    </row>
    <row r="109" spans="1:12" x14ac:dyDescent="0.2">
      <c r="A109" s="25"/>
      <c r="C109" s="316" t="s">
        <v>141</v>
      </c>
      <c r="D109" s="317"/>
      <c r="E109" s="317"/>
      <c r="F109" s="317"/>
      <c r="G109" s="58">
        <f>-D108</f>
        <v>0</v>
      </c>
      <c r="H109" s="58">
        <f>-E108</f>
        <v>0</v>
      </c>
      <c r="I109" s="79">
        <f>-G108</f>
        <v>-6923.6392694064016</v>
      </c>
      <c r="J109" s="79">
        <f>-H108</f>
        <v>-184606.04556365882</v>
      </c>
      <c r="K109" s="79">
        <f>-I108</f>
        <v>-1104410.5601506622</v>
      </c>
      <c r="L109" s="79">
        <f>-J108</f>
        <v>-3036246.2739891009</v>
      </c>
    </row>
    <row r="110" spans="1:12" x14ac:dyDescent="0.2">
      <c r="A110" s="5"/>
      <c r="G110" s="58"/>
      <c r="H110" s="58"/>
      <c r="I110" s="57"/>
      <c r="J110" s="57"/>
      <c r="K110" s="57"/>
      <c r="L110" s="57"/>
    </row>
    <row r="111" spans="1:12" x14ac:dyDescent="0.2">
      <c r="A111" s="5"/>
      <c r="G111" s="58"/>
      <c r="H111" s="58"/>
      <c r="I111" s="57"/>
      <c r="J111" s="57"/>
      <c r="K111" s="57"/>
      <c r="L111" s="57"/>
    </row>
    <row r="112" spans="1:12" s="112" customFormat="1" ht="12" x14ac:dyDescent="0.25">
      <c r="A112" s="112" t="s">
        <v>135</v>
      </c>
      <c r="G112" s="114"/>
      <c r="H112" s="113"/>
      <c r="I112" s="113"/>
      <c r="J112" s="113"/>
      <c r="K112" s="113"/>
      <c r="L112" s="113"/>
    </row>
    <row r="113" spans="1:12" x14ac:dyDescent="0.2">
      <c r="A113" s="49" t="s">
        <v>136</v>
      </c>
      <c r="C113" s="316" t="s">
        <v>140</v>
      </c>
      <c r="D113" s="317"/>
      <c r="E113" s="317"/>
      <c r="F113" s="317"/>
      <c r="G113" s="79">
        <f t="shared" ref="G113:L113" si="27">-G26</f>
        <v>-8272.2709223046386</v>
      </c>
      <c r="H113" s="79">
        <f t="shared" si="27"/>
        <v>-710036.58749781502</v>
      </c>
      <c r="I113" s="79">
        <f t="shared" si="27"/>
        <v>-1116890.4480935573</v>
      </c>
      <c r="J113" s="79">
        <f t="shared" si="27"/>
        <v>-2041919.3353263373</v>
      </c>
      <c r="K113" s="79">
        <f t="shared" si="27"/>
        <v>-3897418.8955311188</v>
      </c>
      <c r="L113" s="79">
        <f t="shared" si="27"/>
        <v>-6950084.4190447219</v>
      </c>
    </row>
    <row r="114" spans="1:12" ht="12" x14ac:dyDescent="0.25">
      <c r="A114" s="49" t="s">
        <v>137</v>
      </c>
      <c r="D114" s="99">
        <v>0.9</v>
      </c>
      <c r="G114" s="58">
        <f t="shared" ref="G114:L114" si="28">-G113*$D$114</f>
        <v>7445.0438300741753</v>
      </c>
      <c r="H114" s="79">
        <f t="shared" si="28"/>
        <v>639032.92874803359</v>
      </c>
      <c r="I114" s="79">
        <f t="shared" si="28"/>
        <v>1005201.4032842015</v>
      </c>
      <c r="J114" s="79">
        <f t="shared" si="28"/>
        <v>1837727.4017937037</v>
      </c>
      <c r="K114" s="79">
        <f t="shared" si="28"/>
        <v>3507677.0059780069</v>
      </c>
      <c r="L114" s="79">
        <f t="shared" si="28"/>
        <v>6255075.9771402497</v>
      </c>
    </row>
    <row r="115" spans="1:12" x14ac:dyDescent="0.2">
      <c r="A115" s="86" t="s">
        <v>138</v>
      </c>
      <c r="G115" s="100">
        <f t="shared" ref="G115:L115" si="29">G113+G114+F115</f>
        <v>-827.22709223046331</v>
      </c>
      <c r="H115" s="100">
        <f t="shared" si="29"/>
        <v>-71830.885842011892</v>
      </c>
      <c r="I115" s="100">
        <f t="shared" si="29"/>
        <v>-183519.93065136764</v>
      </c>
      <c r="J115" s="100">
        <f t="shared" si="29"/>
        <v>-387711.86418400123</v>
      </c>
      <c r="K115" s="100">
        <f t="shared" si="29"/>
        <v>-777453.75373711321</v>
      </c>
      <c r="L115" s="100">
        <f t="shared" si="29"/>
        <v>-1472462.1956415854</v>
      </c>
    </row>
    <row r="116" spans="1:12" x14ac:dyDescent="0.2">
      <c r="A116" s="86"/>
    </row>
    <row r="117" spans="1:12" x14ac:dyDescent="0.2">
      <c r="A117" s="86"/>
    </row>
    <row r="118" spans="1:12" x14ac:dyDescent="0.2">
      <c r="A118" s="52"/>
    </row>
    <row r="119" spans="1:12" x14ac:dyDescent="0.2">
      <c r="A119" s="52"/>
      <c r="F119" s="21"/>
      <c r="G119" s="70"/>
      <c r="H119" s="70"/>
      <c r="I119" s="70"/>
      <c r="J119" s="70"/>
      <c r="K119" s="70"/>
      <c r="L119" s="70"/>
    </row>
    <row r="120" spans="1:12" ht="12" x14ac:dyDescent="0.25">
      <c r="A120" s="19"/>
      <c r="F120" s="76"/>
      <c r="G120" s="76"/>
      <c r="H120" s="76"/>
      <c r="I120" s="76"/>
      <c r="J120" s="76"/>
      <c r="K120" s="76"/>
      <c r="L120" s="76"/>
    </row>
    <row r="121" spans="1:12" x14ac:dyDescent="0.2">
      <c r="F121" s="60"/>
    </row>
    <row r="122" spans="1:12" x14ac:dyDescent="0.2">
      <c r="F122" s="76"/>
      <c r="G122" s="18"/>
      <c r="H122" s="18"/>
      <c r="I122" s="18"/>
      <c r="J122" s="18"/>
      <c r="K122" s="18"/>
      <c r="L122" s="18"/>
    </row>
    <row r="123" spans="1:12" x14ac:dyDescent="0.2">
      <c r="F123" s="76"/>
      <c r="G123" s="18"/>
      <c r="H123" s="18"/>
      <c r="I123" s="18"/>
      <c r="J123" s="18"/>
      <c r="K123" s="18"/>
      <c r="L123" s="18"/>
    </row>
    <row r="124" spans="1:12" x14ac:dyDescent="0.2">
      <c r="F124" s="60"/>
    </row>
    <row r="125" spans="1:12" x14ac:dyDescent="0.2">
      <c r="F125" s="87"/>
      <c r="G125" s="57"/>
      <c r="H125" s="57"/>
      <c r="I125" s="57"/>
      <c r="J125" s="57"/>
      <c r="K125" s="57"/>
      <c r="L125" s="57"/>
    </row>
    <row r="126" spans="1:12" x14ac:dyDescent="0.2">
      <c r="B126" s="5"/>
      <c r="C126" s="5"/>
      <c r="D126" s="5"/>
      <c r="F126" s="87"/>
      <c r="G126" s="57"/>
      <c r="H126" s="57"/>
      <c r="I126" s="57"/>
      <c r="J126" s="57"/>
      <c r="K126" s="57"/>
      <c r="L126" s="57"/>
    </row>
    <row r="127" spans="1:12" x14ac:dyDescent="0.2">
      <c r="A127" s="5"/>
      <c r="F127" s="59"/>
      <c r="G127" s="59"/>
      <c r="H127" s="59"/>
      <c r="I127" s="59"/>
      <c r="J127" s="59"/>
      <c r="K127" s="59"/>
      <c r="L127" s="59"/>
    </row>
    <row r="128" spans="1:12" x14ac:dyDescent="0.2">
      <c r="A128" s="5"/>
    </row>
    <row r="130" spans="1:12" x14ac:dyDescent="0.2">
      <c r="E130" s="21"/>
    </row>
    <row r="131" spans="1:12" ht="12" x14ac:dyDescent="0.25">
      <c r="A131" s="19"/>
      <c r="E131" s="21"/>
    </row>
    <row r="132" spans="1:12" x14ac:dyDescent="0.2">
      <c r="A132" s="5"/>
      <c r="E132" s="21"/>
    </row>
    <row r="133" spans="1:12" x14ac:dyDescent="0.2">
      <c r="A133" s="5"/>
      <c r="E133" s="35"/>
    </row>
    <row r="134" spans="1:12" x14ac:dyDescent="0.2">
      <c r="A134" s="5"/>
      <c r="E134" s="17"/>
    </row>
    <row r="135" spans="1:12" x14ac:dyDescent="0.2">
      <c r="A135" s="5"/>
    </row>
    <row r="137" spans="1:12" x14ac:dyDescent="0.2">
      <c r="G137" s="57"/>
      <c r="H137" s="57"/>
      <c r="I137" s="57"/>
      <c r="J137" s="57"/>
      <c r="K137" s="57"/>
      <c r="L137" s="57"/>
    </row>
    <row r="138" spans="1:12" x14ac:dyDescent="0.2">
      <c r="A138" s="5"/>
    </row>
    <row r="139" spans="1:12" x14ac:dyDescent="0.2">
      <c r="A139" s="5"/>
    </row>
  </sheetData>
  <mergeCells count="4">
    <mergeCell ref="C28:F28"/>
    <mergeCell ref="C101:F101"/>
    <mergeCell ref="C109:F109"/>
    <mergeCell ref="C113:F113"/>
  </mergeCells>
  <pageMargins left="0.74803149606299213" right="0.74803149606299213" top="0.98425196850393704" bottom="0.98425196850393704" header="0.51181102362204722" footer="0.51181102362204722"/>
  <pageSetup paperSize="9" scale="41" orientation="landscape"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59999389629810485"/>
  </sheetPr>
  <dimension ref="A1:L62"/>
  <sheetViews>
    <sheetView showGridLines="0" topLeftCell="B1" workbookViewId="0">
      <selection activeCell="C50" sqref="C50"/>
    </sheetView>
  </sheetViews>
  <sheetFormatPr defaultRowHeight="11.4" x14ac:dyDescent="0.2"/>
  <cols>
    <col min="2" max="2" width="50.375" style="140" customWidth="1"/>
    <col min="3" max="11" width="20.75" customWidth="1"/>
    <col min="12" max="12" width="46.875" customWidth="1"/>
    <col min="15" max="15" width="13.125" customWidth="1"/>
    <col min="18" max="18" width="17.625" customWidth="1"/>
    <col min="21" max="21" width="1.875" customWidth="1"/>
    <col min="23" max="23" width="12.625" bestFit="1" customWidth="1"/>
    <col min="24" max="24" width="23.75" customWidth="1"/>
  </cols>
  <sheetData>
    <row r="1" spans="1:12" ht="12" thickBot="1" x14ac:dyDescent="0.25">
      <c r="A1" s="137"/>
    </row>
    <row r="2" spans="1:12" ht="13.5" customHeight="1" thickTop="1" thickBot="1" x14ac:dyDescent="0.3">
      <c r="B2" s="166"/>
      <c r="C2" s="162">
        <v>2021</v>
      </c>
      <c r="D2" s="162">
        <f>C2+1</f>
        <v>2022</v>
      </c>
      <c r="E2" s="162">
        <f>D2+1</f>
        <v>2023</v>
      </c>
      <c r="F2" s="162">
        <f>E2+1</f>
        <v>2024</v>
      </c>
      <c r="G2" s="162">
        <f>F2+1</f>
        <v>2025</v>
      </c>
      <c r="H2" s="162">
        <f>G2+1</f>
        <v>2026</v>
      </c>
      <c r="K2" s="318"/>
      <c r="L2" s="138" t="s">
        <v>259</v>
      </c>
    </row>
    <row r="3" spans="1:12" ht="3" customHeight="1" thickTop="1" x14ac:dyDescent="0.2">
      <c r="B3" s="167"/>
      <c r="C3" s="163"/>
      <c r="D3" s="163"/>
      <c r="E3" s="163"/>
      <c r="F3" s="163"/>
      <c r="G3" s="163"/>
      <c r="H3" s="163"/>
      <c r="K3" s="318"/>
      <c r="L3" s="133"/>
    </row>
    <row r="4" spans="1:12" ht="3" customHeight="1" x14ac:dyDescent="0.2">
      <c r="B4" s="168"/>
      <c r="C4" s="164"/>
      <c r="D4" s="164"/>
      <c r="E4" s="164"/>
      <c r="F4" s="164"/>
      <c r="G4" s="164"/>
      <c r="H4" s="164"/>
      <c r="K4" s="318"/>
      <c r="L4" s="134"/>
    </row>
    <row r="5" spans="1:12" ht="3" customHeight="1" thickBot="1" x14ac:dyDescent="0.25">
      <c r="B5" s="169"/>
      <c r="C5" s="164"/>
      <c r="D5" s="164"/>
      <c r="E5" s="164"/>
      <c r="F5" s="164"/>
      <c r="G5" s="164"/>
      <c r="H5" s="164"/>
      <c r="K5" s="318"/>
    </row>
    <row r="6" spans="1:12" ht="13.2" thickTop="1" thickBot="1" x14ac:dyDescent="0.25">
      <c r="B6" s="170" t="s">
        <v>43</v>
      </c>
      <c r="C6" s="164"/>
      <c r="D6" s="164"/>
      <c r="E6" s="164"/>
      <c r="F6" s="164"/>
      <c r="G6" s="164"/>
      <c r="H6" s="164"/>
      <c r="I6" s="17"/>
      <c r="K6" s="318"/>
      <c r="L6" s="4" t="s">
        <v>38</v>
      </c>
    </row>
    <row r="7" spans="1:12" ht="12.6" thickTop="1" thickBot="1" x14ac:dyDescent="0.25">
      <c r="B7" s="171" t="s">
        <v>47</v>
      </c>
      <c r="C7" s="139">
        <v>1</v>
      </c>
      <c r="D7" s="172">
        <f>GEOMEAN(C7,$I$7)</f>
        <v>4.3011626335213133</v>
      </c>
      <c r="E7" s="172">
        <f>GEOMEAN(D7,$I$7)</f>
        <v>8.9202863586403041</v>
      </c>
      <c r="F7" s="172">
        <f>GEOMEAN(E7,$I$7)</f>
        <v>12.846217250025225</v>
      </c>
      <c r="G7" s="172">
        <f>GEOMEAN(F7,$I$7)</f>
        <v>15.416063671555936</v>
      </c>
      <c r="H7" s="172">
        <f>GEOMEAN(G7,$I$7)</f>
        <v>16.887781912488826</v>
      </c>
      <c r="I7" s="60">
        <v>18.5</v>
      </c>
      <c r="K7" s="318"/>
      <c r="L7" s="4" t="s">
        <v>37</v>
      </c>
    </row>
    <row r="8" spans="1:12" ht="12.6" thickTop="1" thickBot="1" x14ac:dyDescent="0.25">
      <c r="B8" s="173" t="s">
        <v>46</v>
      </c>
      <c r="C8" s="139">
        <v>6.6666666666666693E-2</v>
      </c>
      <c r="D8" s="172">
        <f>C8</f>
        <v>6.6666666666666693E-2</v>
      </c>
      <c r="E8" s="172">
        <f>D8</f>
        <v>6.6666666666666693E-2</v>
      </c>
      <c r="F8" s="172">
        <f>E8</f>
        <v>6.6666666666666693E-2</v>
      </c>
      <c r="G8" s="172">
        <f>F8</f>
        <v>6.6666666666666693E-2</v>
      </c>
      <c r="H8" s="172">
        <f>G8</f>
        <v>6.6666666666666693E-2</v>
      </c>
      <c r="K8" s="318"/>
    </row>
    <row r="9" spans="1:12" ht="12.6" thickTop="1" thickBot="1" x14ac:dyDescent="0.25">
      <c r="B9" s="173" t="s">
        <v>48</v>
      </c>
      <c r="C9" s="87">
        <v>5000000</v>
      </c>
      <c r="D9" s="164">
        <f>GEOMEAN(C9,$I$9)</f>
        <v>31622776.601683792</v>
      </c>
      <c r="E9" s="164">
        <f>GEOMEAN(D9,$I$9)</f>
        <v>79527072.876705065</v>
      </c>
      <c r="F9" s="164">
        <f>GEOMEAN(E9,$I$9)</f>
        <v>126116670.48943615</v>
      </c>
      <c r="G9" s="164">
        <f>GEOMEAN(F9,$I$9)</f>
        <v>158818557.15843543</v>
      </c>
      <c r="H9" s="164">
        <v>200000000</v>
      </c>
      <c r="I9" s="87">
        <v>200000000</v>
      </c>
      <c r="K9" s="318"/>
    </row>
    <row r="10" spans="1:12" ht="3" customHeight="1" thickTop="1" x14ac:dyDescent="0.2">
      <c r="B10" s="167"/>
      <c r="C10" s="163"/>
      <c r="D10" s="163"/>
      <c r="E10" s="163"/>
      <c r="F10" s="163"/>
      <c r="G10" s="163"/>
      <c r="H10" s="163"/>
      <c r="K10" s="318"/>
    </row>
    <row r="11" spans="1:12" ht="3" customHeight="1" thickBot="1" x14ac:dyDescent="0.25">
      <c r="B11" s="174"/>
      <c r="C11" s="164"/>
      <c r="D11" s="164"/>
      <c r="E11" s="164"/>
      <c r="F11" s="164"/>
      <c r="G11" s="164"/>
      <c r="H11" s="164"/>
    </row>
    <row r="12" spans="1:12" ht="13.2" thickTop="1" thickBot="1" x14ac:dyDescent="0.3">
      <c r="B12" s="175" t="s">
        <v>49</v>
      </c>
      <c r="C12" s="165">
        <f t="shared" ref="C12:H12" si="0">C7*C8*C9</f>
        <v>333333.33333333349</v>
      </c>
      <c r="D12" s="165">
        <f t="shared" si="0"/>
        <v>9067647.0058236327</v>
      </c>
      <c r="E12" s="165">
        <f t="shared" si="0"/>
        <v>47293617.554977715</v>
      </c>
      <c r="F12" s="165">
        <f t="shared" si="0"/>
        <v>108008143.19714284</v>
      </c>
      <c r="G12" s="165">
        <f t="shared" si="0"/>
        <v>163223799.29193917</v>
      </c>
      <c r="H12" s="165">
        <f t="shared" si="0"/>
        <v>225170425.49985108</v>
      </c>
      <c r="I12" s="150"/>
    </row>
    <row r="13" spans="1:12" ht="3" customHeight="1" thickTop="1" x14ac:dyDescent="0.2">
      <c r="B13" s="167"/>
      <c r="C13" s="163"/>
      <c r="D13" s="163"/>
      <c r="E13" s="163"/>
      <c r="F13" s="163"/>
      <c r="G13" s="163"/>
      <c r="H13" s="163"/>
      <c r="I13" s="5"/>
    </row>
    <row r="14" spans="1:12" ht="3" customHeight="1" thickBot="1" x14ac:dyDescent="0.25">
      <c r="B14" s="174"/>
      <c r="C14" s="164"/>
      <c r="D14" s="164"/>
      <c r="E14" s="164"/>
      <c r="F14" s="164"/>
      <c r="G14" s="164"/>
      <c r="H14" s="164"/>
      <c r="I14" s="5"/>
    </row>
    <row r="15" spans="1:12" ht="3" customHeight="1" thickTop="1" thickBot="1" x14ac:dyDescent="0.25">
      <c r="B15" s="169"/>
      <c r="C15" s="164"/>
      <c r="D15" s="164"/>
      <c r="E15" s="164"/>
      <c r="F15" s="164"/>
      <c r="G15" s="164"/>
      <c r="H15" s="164"/>
      <c r="I15" s="5"/>
    </row>
    <row r="16" spans="1:12" ht="13.2" thickTop="1" thickBot="1" x14ac:dyDescent="0.3">
      <c r="B16" s="170" t="s">
        <v>44</v>
      </c>
      <c r="C16" s="165"/>
      <c r="D16" s="165"/>
      <c r="E16" s="165"/>
      <c r="F16" s="165"/>
      <c r="G16" s="165"/>
      <c r="H16" s="165"/>
      <c r="I16" s="5"/>
    </row>
    <row r="17" spans="2:12" ht="12.6" thickTop="1" thickBot="1" x14ac:dyDescent="0.25">
      <c r="B17" s="171" t="s">
        <v>47</v>
      </c>
      <c r="C17" s="139">
        <v>1.7</v>
      </c>
      <c r="D17" s="172">
        <f>D7</f>
        <v>4.3011626335213133</v>
      </c>
      <c r="E17" s="172">
        <f>E7</f>
        <v>8.9202863586403041</v>
      </c>
      <c r="F17" s="172">
        <f>F7</f>
        <v>12.846217250025225</v>
      </c>
      <c r="G17" s="172">
        <f>G7</f>
        <v>15.416063671555936</v>
      </c>
      <c r="H17" s="172">
        <f>H7</f>
        <v>16.887781912488826</v>
      </c>
      <c r="I17" s="5"/>
      <c r="L17" s="4" t="s">
        <v>41</v>
      </c>
    </row>
    <row r="18" spans="2:12" ht="12.6" thickTop="1" thickBot="1" x14ac:dyDescent="0.25">
      <c r="B18" s="173" t="s">
        <v>46</v>
      </c>
      <c r="C18" s="87">
        <v>1</v>
      </c>
      <c r="D18" s="164">
        <f>C18</f>
        <v>1</v>
      </c>
      <c r="E18" s="164">
        <f>D18</f>
        <v>1</v>
      </c>
      <c r="F18" s="164">
        <f>E18</f>
        <v>1</v>
      </c>
      <c r="G18" s="164">
        <f>F18</f>
        <v>1</v>
      </c>
      <c r="H18" s="164">
        <f>G18</f>
        <v>1</v>
      </c>
      <c r="I18" s="5"/>
      <c r="L18" s="4" t="s">
        <v>42</v>
      </c>
    </row>
    <row r="19" spans="2:12" ht="12.6" thickTop="1" thickBot="1" x14ac:dyDescent="0.25">
      <c r="B19" s="173" t="s">
        <v>50</v>
      </c>
      <c r="C19" s="164">
        <f t="shared" ref="C19:H19" si="1">C9*$I$19</f>
        <v>50000</v>
      </c>
      <c r="D19" s="164">
        <f t="shared" si="1"/>
        <v>316227.76601683791</v>
      </c>
      <c r="E19" s="164">
        <f t="shared" si="1"/>
        <v>795270.72876705066</v>
      </c>
      <c r="F19" s="164">
        <f t="shared" si="1"/>
        <v>1261166.7048943616</v>
      </c>
      <c r="G19" s="164">
        <f t="shared" si="1"/>
        <v>1588185.5715843544</v>
      </c>
      <c r="H19" s="164">
        <f t="shared" si="1"/>
        <v>2000000</v>
      </c>
      <c r="I19" s="76">
        <v>0.01</v>
      </c>
      <c r="L19" s="4" t="s">
        <v>40</v>
      </c>
    </row>
    <row r="20" spans="2:12" ht="3" customHeight="1" thickTop="1" x14ac:dyDescent="0.2">
      <c r="B20" s="167"/>
      <c r="C20" s="163"/>
      <c r="D20" s="163"/>
      <c r="E20" s="163"/>
      <c r="F20" s="163"/>
      <c r="G20" s="163"/>
      <c r="H20" s="163"/>
      <c r="I20" s="5"/>
    </row>
    <row r="21" spans="2:12" ht="3" customHeight="1" thickBot="1" x14ac:dyDescent="0.25">
      <c r="B21" s="174"/>
      <c r="C21" s="164"/>
      <c r="D21" s="164"/>
      <c r="E21" s="164"/>
      <c r="F21" s="164"/>
      <c r="G21" s="164"/>
      <c r="H21" s="164"/>
      <c r="I21" s="5"/>
    </row>
    <row r="22" spans="2:12" ht="13.2" thickTop="1" thickBot="1" x14ac:dyDescent="0.3">
      <c r="B22" s="175" t="s">
        <v>51</v>
      </c>
      <c r="C22" s="165">
        <f t="shared" ref="C22:H22" si="2">C17*C18*C19</f>
        <v>85000</v>
      </c>
      <c r="D22" s="165">
        <f t="shared" si="2"/>
        <v>1360147.0508735443</v>
      </c>
      <c r="E22" s="165">
        <f t="shared" si="2"/>
        <v>7094042.6332466556</v>
      </c>
      <c r="F22" s="165">
        <f t="shared" si="2"/>
        <v>16201221.479571419</v>
      </c>
      <c r="G22" s="165">
        <f t="shared" si="2"/>
        <v>24483569.893790863</v>
      </c>
      <c r="H22" s="165">
        <f t="shared" si="2"/>
        <v>33775563.824977651</v>
      </c>
      <c r="I22" s="150"/>
    </row>
    <row r="23" spans="2:12" ht="3" customHeight="1" thickTop="1" x14ac:dyDescent="0.2">
      <c r="B23" s="167"/>
      <c r="C23" s="163"/>
      <c r="D23" s="163"/>
      <c r="E23" s="163"/>
      <c r="F23" s="163"/>
      <c r="G23" s="163"/>
      <c r="H23" s="163"/>
      <c r="I23" s="5"/>
    </row>
    <row r="24" spans="2:12" ht="3" customHeight="1" x14ac:dyDescent="0.2">
      <c r="B24" s="168"/>
      <c r="C24" s="164"/>
      <c r="D24" s="164"/>
      <c r="E24" s="164"/>
      <c r="F24" s="164"/>
      <c r="G24" s="164"/>
      <c r="H24" s="164"/>
      <c r="I24" s="5"/>
    </row>
    <row r="25" spans="2:12" ht="3" customHeight="1" thickBot="1" x14ac:dyDescent="0.25">
      <c r="B25" s="169"/>
      <c r="C25" s="164"/>
      <c r="D25" s="164"/>
      <c r="E25" s="164"/>
      <c r="F25" s="164"/>
      <c r="G25" s="164"/>
      <c r="H25" s="164"/>
      <c r="I25" s="5"/>
    </row>
    <row r="26" spans="2:12" ht="13.2" thickTop="1" thickBot="1" x14ac:dyDescent="0.25">
      <c r="B26" s="170" t="s">
        <v>45</v>
      </c>
      <c r="C26" s="161"/>
      <c r="D26" s="161"/>
      <c r="E26" s="161"/>
      <c r="F26" s="161"/>
      <c r="G26" s="161"/>
      <c r="H26" s="161"/>
      <c r="I26" s="5"/>
    </row>
    <row r="27" spans="2:12" ht="12.6" thickTop="1" thickBot="1" x14ac:dyDescent="0.25">
      <c r="B27" s="171" t="s">
        <v>47</v>
      </c>
      <c r="C27" s="139">
        <v>1</v>
      </c>
      <c r="D27" s="172">
        <f>D7</f>
        <v>4.3011626335213133</v>
      </c>
      <c r="E27" s="172">
        <f>E7</f>
        <v>8.9202863586403041</v>
      </c>
      <c r="F27" s="172">
        <f>F7</f>
        <v>12.846217250025225</v>
      </c>
      <c r="G27" s="172">
        <f>G7</f>
        <v>15.416063671555936</v>
      </c>
      <c r="H27" s="172">
        <f>H7</f>
        <v>16.887781912488826</v>
      </c>
      <c r="I27" s="5"/>
      <c r="L27" s="4" t="s">
        <v>39</v>
      </c>
    </row>
    <row r="28" spans="2:12" ht="12.6" thickTop="1" thickBot="1" x14ac:dyDescent="0.25">
      <c r="B28" s="173" t="s">
        <v>46</v>
      </c>
      <c r="C28" s="139">
        <f>1/25</f>
        <v>0.04</v>
      </c>
      <c r="D28" s="172">
        <f>C28</f>
        <v>0.04</v>
      </c>
      <c r="E28" s="172">
        <f>D28</f>
        <v>0.04</v>
      </c>
      <c r="F28" s="172">
        <f>E28</f>
        <v>0.04</v>
      </c>
      <c r="G28" s="172">
        <f>F28</f>
        <v>0.04</v>
      </c>
      <c r="H28" s="172">
        <f>G28</f>
        <v>0.04</v>
      </c>
      <c r="I28" s="5"/>
      <c r="L28" s="4"/>
    </row>
    <row r="29" spans="2:12" ht="12.6" thickTop="1" thickBot="1" x14ac:dyDescent="0.25">
      <c r="B29" s="173" t="s">
        <v>50</v>
      </c>
      <c r="C29" s="164">
        <f t="shared" ref="C29:H29" si="3">C9</f>
        <v>5000000</v>
      </c>
      <c r="D29" s="164">
        <f t="shared" si="3"/>
        <v>31622776.601683792</v>
      </c>
      <c r="E29" s="164">
        <f t="shared" si="3"/>
        <v>79527072.876705065</v>
      </c>
      <c r="F29" s="164">
        <f t="shared" si="3"/>
        <v>126116670.48943615</v>
      </c>
      <c r="G29" s="164">
        <f t="shared" si="3"/>
        <v>158818557.15843543</v>
      </c>
      <c r="H29" s="164">
        <f t="shared" si="3"/>
        <v>200000000</v>
      </c>
      <c r="I29" s="5"/>
      <c r="L29" s="4"/>
    </row>
    <row r="30" spans="2:12" ht="3" customHeight="1" thickTop="1" x14ac:dyDescent="0.2">
      <c r="B30" s="167"/>
      <c r="C30" s="163"/>
      <c r="D30" s="163"/>
      <c r="E30" s="163"/>
      <c r="F30" s="163"/>
      <c r="G30" s="163"/>
      <c r="H30" s="163"/>
      <c r="I30" s="5"/>
    </row>
    <row r="31" spans="2:12" ht="3" customHeight="1" thickBot="1" x14ac:dyDescent="0.25">
      <c r="B31" s="174"/>
      <c r="C31" s="164"/>
      <c r="D31" s="164"/>
      <c r="E31" s="164"/>
      <c r="F31" s="164"/>
      <c r="G31" s="164"/>
      <c r="H31" s="164"/>
      <c r="I31" s="5"/>
    </row>
    <row r="32" spans="2:12" ht="13.2" thickTop="1" thickBot="1" x14ac:dyDescent="0.3">
      <c r="B32" s="175" t="s">
        <v>52</v>
      </c>
      <c r="C32" s="165">
        <f t="shared" ref="C32:H32" si="4">C27*C28*C29</f>
        <v>200000</v>
      </c>
      <c r="D32" s="165">
        <f t="shared" si="4"/>
        <v>5440588.2034941772</v>
      </c>
      <c r="E32" s="165">
        <f t="shared" si="4"/>
        <v>28376170.532986622</v>
      </c>
      <c r="F32" s="165">
        <f t="shared" si="4"/>
        <v>64804885.918285675</v>
      </c>
      <c r="G32" s="165">
        <f t="shared" si="4"/>
        <v>97934279.575163454</v>
      </c>
      <c r="H32" s="165">
        <f t="shared" si="4"/>
        <v>135102255.29991063</v>
      </c>
      <c r="I32" s="150"/>
      <c r="K32" s="162" t="s">
        <v>103</v>
      </c>
    </row>
    <row r="33" spans="1:11" ht="3" customHeight="1" thickTop="1" x14ac:dyDescent="0.2">
      <c r="B33" s="167"/>
      <c r="C33" s="163"/>
      <c r="D33" s="163"/>
      <c r="E33" s="163"/>
      <c r="F33" s="163"/>
      <c r="G33" s="163"/>
      <c r="H33" s="163"/>
      <c r="I33" s="5"/>
      <c r="K33" s="163"/>
    </row>
    <row r="34" spans="1:11" ht="3" customHeight="1" thickBot="1" x14ac:dyDescent="0.25">
      <c r="B34" s="168"/>
      <c r="C34" s="164"/>
      <c r="D34" s="164"/>
      <c r="E34" s="164"/>
      <c r="F34" s="164"/>
      <c r="G34" s="164"/>
      <c r="H34" s="164"/>
      <c r="I34" s="5"/>
      <c r="K34" s="164"/>
    </row>
    <row r="35" spans="1:11" ht="12.6" thickTop="1" x14ac:dyDescent="0.25">
      <c r="A35" s="148"/>
      <c r="B35" s="141" t="s">
        <v>53</v>
      </c>
      <c r="C35" s="165">
        <f t="shared" ref="C35:H35" si="5">C32+C22+C12</f>
        <v>618333.33333333349</v>
      </c>
      <c r="D35" s="165">
        <f t="shared" si="5"/>
        <v>15868382.260191355</v>
      </c>
      <c r="E35" s="165">
        <f t="shared" si="5"/>
        <v>82763830.721210986</v>
      </c>
      <c r="F35" s="165">
        <f t="shared" si="5"/>
        <v>189014250.59499994</v>
      </c>
      <c r="G35" s="165">
        <f t="shared" si="5"/>
        <v>285641648.76089346</v>
      </c>
      <c r="H35" s="165">
        <f t="shared" si="5"/>
        <v>394048244.62473941</v>
      </c>
      <c r="I35" s="149"/>
      <c r="K35" s="203">
        <f>(H35/C35)^(1/6)-1+13%</f>
        <v>2.0635114633551681</v>
      </c>
    </row>
    <row r="37" spans="1:11" ht="12" thickBot="1" x14ac:dyDescent="0.25">
      <c r="A37" s="137"/>
    </row>
    <row r="38" spans="1:11" ht="12" thickTop="1" x14ac:dyDescent="0.2">
      <c r="A38" s="74"/>
    </row>
    <row r="39" spans="1:11" x14ac:dyDescent="0.2">
      <c r="A39" s="74"/>
    </row>
    <row r="40" spans="1:11" x14ac:dyDescent="0.2">
      <c r="A40" s="74"/>
    </row>
    <row r="41" spans="1:11" x14ac:dyDescent="0.2">
      <c r="A41" s="74"/>
    </row>
    <row r="42" spans="1:11" ht="12" thickBot="1" x14ac:dyDescent="0.25">
      <c r="A42" s="74"/>
    </row>
    <row r="43" spans="1:11" ht="13.2" thickTop="1" thickBot="1" x14ac:dyDescent="0.3">
      <c r="B43" s="166"/>
      <c r="C43" s="162">
        <v>2021</v>
      </c>
      <c r="D43" s="162">
        <f>C43+1</f>
        <v>2022</v>
      </c>
      <c r="E43" s="162">
        <f>D43+1</f>
        <v>2023</v>
      </c>
      <c r="F43" s="162">
        <f>E43+1</f>
        <v>2024</v>
      </c>
      <c r="G43" s="162">
        <f>F43+1</f>
        <v>2025</v>
      </c>
      <c r="H43" s="162">
        <f>G43+1</f>
        <v>2026</v>
      </c>
      <c r="K43" s="162" t="s">
        <v>103</v>
      </c>
    </row>
    <row r="44" spans="1:11" ht="3" customHeight="1" thickTop="1" x14ac:dyDescent="0.2">
      <c r="B44" s="167"/>
      <c r="C44" s="163"/>
      <c r="D44" s="163"/>
      <c r="E44" s="163"/>
      <c r="F44" s="163"/>
      <c r="G44" s="163"/>
      <c r="H44" s="163"/>
      <c r="K44" s="163"/>
    </row>
    <row r="45" spans="1:11" ht="3" customHeight="1" x14ac:dyDescent="0.2">
      <c r="B45" s="168"/>
      <c r="C45" s="164"/>
      <c r="D45" s="164"/>
      <c r="E45" s="164"/>
      <c r="F45" s="164"/>
      <c r="G45" s="164"/>
      <c r="H45" s="164"/>
      <c r="K45" s="164"/>
    </row>
    <row r="46" spans="1:11" ht="3" customHeight="1" thickBot="1" x14ac:dyDescent="0.25">
      <c r="B46" s="169"/>
      <c r="C46" s="164"/>
      <c r="D46" s="164"/>
      <c r="E46" s="164"/>
      <c r="F46" s="164"/>
      <c r="G46" s="164"/>
      <c r="H46" s="164"/>
    </row>
    <row r="47" spans="1:11" ht="13.2" thickTop="1" thickBot="1" x14ac:dyDescent="0.25">
      <c r="B47" s="170" t="s">
        <v>57</v>
      </c>
      <c r="C47" s="164"/>
      <c r="D47" s="164"/>
      <c r="E47" s="164"/>
      <c r="F47" s="164"/>
      <c r="G47" s="164"/>
      <c r="H47" s="164"/>
    </row>
    <row r="48" spans="1:11" ht="12.6" thickTop="1" thickBot="1" x14ac:dyDescent="0.25">
      <c r="B48" s="171" t="s">
        <v>54</v>
      </c>
      <c r="C48" s="87">
        <v>100000</v>
      </c>
      <c r="D48" s="164">
        <f>GEOMEAN(C48,$I48)</f>
        <v>618465.84384264913</v>
      </c>
      <c r="E48" s="164">
        <f>GEOMEAN(D48,$I48)</f>
        <v>1538061.0692355921</v>
      </c>
      <c r="F48" s="164">
        <f>GEOMEAN(E48,$I48)</f>
        <v>2425506.8727641525</v>
      </c>
      <c r="G48" s="164">
        <f>GEOMEAN(F48,$I48)</f>
        <v>3045909.3532675728</v>
      </c>
      <c r="H48" s="164">
        <f>GEOMEAN(G48,$I48)</f>
        <v>3413298.005778058</v>
      </c>
      <c r="I48" s="87">
        <v>3825000</v>
      </c>
      <c r="K48" s="203">
        <f>(H48/C48)^(1/6)-1</f>
        <v>0.80106353945562181</v>
      </c>
    </row>
    <row r="49" spans="2:11" ht="12.6" thickTop="1" thickBot="1" x14ac:dyDescent="0.25">
      <c r="B49" s="173" t="s">
        <v>55</v>
      </c>
      <c r="C49" s="87">
        <v>245000</v>
      </c>
      <c r="D49" s="164">
        <f>GEOMEAN(C49,$I49)</f>
        <v>2583654.3886518567</v>
      </c>
      <c r="E49" s="164">
        <f t="shared" ref="E49:G51" si="6">GEOMEAN(D49,$I49)</f>
        <v>8390127.9771650974</v>
      </c>
      <c r="F49" s="164">
        <f t="shared" si="6"/>
        <v>15119438.708690222</v>
      </c>
      <c r="G49" s="164">
        <f t="shared" si="6"/>
        <v>20296409.215843424</v>
      </c>
      <c r="H49" s="164">
        <f>GEOMEAN(G49,$I49)</f>
        <v>23515866.250148427</v>
      </c>
      <c r="I49" s="87">
        <v>27246000</v>
      </c>
      <c r="K49" s="203">
        <f>(H49/C49)^(1/5)-1</f>
        <v>1.491374295861184</v>
      </c>
    </row>
    <row r="50" spans="2:11" ht="12.6" thickTop="1" thickBot="1" x14ac:dyDescent="0.25">
      <c r="B50" s="173" t="s">
        <v>59</v>
      </c>
      <c r="C50" s="87">
        <v>120000</v>
      </c>
      <c r="D50" s="164">
        <f>GEOMEAN(C50,$I$50)</f>
        <v>514742.65414865321</v>
      </c>
      <c r="E50" s="164">
        <f>GEOMEAN(D50,$I$50)</f>
        <v>1066091.8254823205</v>
      </c>
      <c r="F50" s="164">
        <f>GEOMEAN(E50,$I$50)</f>
        <v>1534252.5055104077</v>
      </c>
      <c r="G50" s="164">
        <f>GEOMEAN(F50,$I$50)</f>
        <v>1840551.4206799495</v>
      </c>
      <c r="H50" s="164">
        <f>GEOMEAN(G50,$I$50)</f>
        <v>2015921.0145393417</v>
      </c>
      <c r="I50" s="87">
        <v>2208000</v>
      </c>
      <c r="K50" s="203">
        <f>(H50/C50)^(1/6)-1</f>
        <v>0.60035148683388173</v>
      </c>
    </row>
    <row r="51" spans="2:11" ht="12" thickTop="1" x14ac:dyDescent="0.2">
      <c r="B51" s="184" t="s">
        <v>56</v>
      </c>
      <c r="C51" s="87">
        <v>900000</v>
      </c>
      <c r="D51" s="164">
        <f>GEOMEAN(C51,$I51)</f>
        <v>4414181.6908686487</v>
      </c>
      <c r="E51" s="164">
        <f t="shared" si="6"/>
        <v>9775839.278921593</v>
      </c>
      <c r="F51" s="164">
        <f t="shared" si="6"/>
        <v>14548089.922345562</v>
      </c>
      <c r="G51" s="164">
        <f t="shared" si="6"/>
        <v>17747285.618335593</v>
      </c>
      <c r="H51" s="164">
        <f>GEOMEAN(G51,$I51)</f>
        <v>19601753.3306836</v>
      </c>
      <c r="I51" s="87">
        <v>21650000</v>
      </c>
      <c r="K51" s="203">
        <f>(H51/C51)^(1/6)-1</f>
        <v>0.67112422560464369</v>
      </c>
    </row>
    <row r="52" spans="2:11" ht="3" customHeight="1" x14ac:dyDescent="0.2">
      <c r="B52" s="167"/>
      <c r="C52" s="163"/>
      <c r="D52" s="163"/>
      <c r="E52" s="163"/>
      <c r="F52" s="163"/>
      <c r="G52" s="163"/>
      <c r="H52" s="163"/>
    </row>
    <row r="53" spans="2:11" ht="3" customHeight="1" x14ac:dyDescent="0.2">
      <c r="B53" s="168"/>
      <c r="C53" s="164"/>
      <c r="D53" s="164"/>
      <c r="E53" s="164"/>
      <c r="F53" s="164"/>
      <c r="G53" s="164"/>
      <c r="H53" s="164"/>
    </row>
    <row r="54" spans="2:11" ht="15.6" customHeight="1" thickBot="1" x14ac:dyDescent="0.3">
      <c r="B54" s="175" t="s">
        <v>58</v>
      </c>
      <c r="C54" s="165">
        <f t="shared" ref="C54:H54" si="7">SUM(C48:C51)</f>
        <v>1365000</v>
      </c>
      <c r="D54" s="165">
        <f t="shared" si="7"/>
        <v>8131044.5775118079</v>
      </c>
      <c r="E54" s="165">
        <f t="shared" si="7"/>
        <v>20770120.150804602</v>
      </c>
      <c r="F54" s="165">
        <f t="shared" si="7"/>
        <v>33627288.009310342</v>
      </c>
      <c r="G54" s="165">
        <f t="shared" si="7"/>
        <v>42930155.608126536</v>
      </c>
      <c r="H54" s="165">
        <f t="shared" si="7"/>
        <v>48546838.601149425</v>
      </c>
    </row>
    <row r="55" spans="2:11" ht="3" customHeight="1" thickTop="1" x14ac:dyDescent="0.2">
      <c r="B55" s="168"/>
      <c r="C55" s="164"/>
      <c r="D55" s="164"/>
      <c r="E55" s="164"/>
      <c r="F55" s="164"/>
      <c r="G55" s="164"/>
      <c r="H55" s="164"/>
    </row>
    <row r="56" spans="2:11" ht="12" x14ac:dyDescent="0.25">
      <c r="B56" s="141" t="s">
        <v>104</v>
      </c>
      <c r="C56" s="165">
        <f t="shared" ref="C56:H56" si="8">C35-C54</f>
        <v>-746666.66666666651</v>
      </c>
      <c r="D56" s="165">
        <f t="shared" si="8"/>
        <v>7737337.682679547</v>
      </c>
      <c r="E56" s="165">
        <f t="shared" si="8"/>
        <v>61993710.570406385</v>
      </c>
      <c r="F56" s="165">
        <f t="shared" si="8"/>
        <v>155386962.5856896</v>
      </c>
      <c r="G56" s="165">
        <f t="shared" si="8"/>
        <v>242711493.15276694</v>
      </c>
      <c r="H56" s="165">
        <f t="shared" si="8"/>
        <v>345501406.02358997</v>
      </c>
    </row>
    <row r="58" spans="2:11" x14ac:dyDescent="0.2">
      <c r="D58">
        <f>D48/D35</f>
        <v>3.8974725570745807E-2</v>
      </c>
      <c r="E58" s="5" t="s">
        <v>77</v>
      </c>
    </row>
    <row r="59" spans="2:11" x14ac:dyDescent="0.2">
      <c r="D59">
        <f>D50/D35</f>
        <v>3.2438256509611331E-2</v>
      </c>
    </row>
    <row r="61" spans="2:11" x14ac:dyDescent="0.2">
      <c r="B61" s="202" t="s">
        <v>87</v>
      </c>
    </row>
    <row r="62" spans="2:11" x14ac:dyDescent="0.2">
      <c r="B62" s="202" t="s">
        <v>88</v>
      </c>
    </row>
  </sheetData>
  <mergeCells count="1">
    <mergeCell ref="K2:K10"/>
  </mergeCells>
  <hyperlinks>
    <hyperlink ref="L7" r:id="rId1" xr:uid="{00000000-0004-0000-0700-000000000000}"/>
    <hyperlink ref="L6" r:id="rId2" xr:uid="{00000000-0004-0000-0700-000001000000}"/>
    <hyperlink ref="L27" r:id="rId3" xr:uid="{00000000-0004-0000-0700-000002000000}"/>
    <hyperlink ref="L19" r:id="rId4" xr:uid="{00000000-0004-0000-0700-000003000000}"/>
    <hyperlink ref="L17" r:id="rId5" xr:uid="{00000000-0004-0000-0700-000004000000}"/>
    <hyperlink ref="L18" r:id="rId6" xr:uid="{00000000-0004-0000-0700-000005000000}"/>
  </hyperlinks>
  <pageMargins left="0.7" right="0.7" top="0.75" bottom="0.75" header="0.3" footer="0.3"/>
  <pageSetup paperSize="9" orientation="portrait" r:id="rId7"/>
  <legacyDrawing r:id="rId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59999389629810485"/>
  </sheetPr>
  <dimension ref="A1:B12"/>
  <sheetViews>
    <sheetView workbookViewId="0">
      <selection activeCell="A23" sqref="A23"/>
    </sheetView>
  </sheetViews>
  <sheetFormatPr defaultRowHeight="11.4" x14ac:dyDescent="0.2"/>
  <cols>
    <col min="1" max="1" width="99.625" bestFit="1" customWidth="1"/>
    <col min="2" max="2" width="26.125" bestFit="1" customWidth="1"/>
  </cols>
  <sheetData>
    <row r="1" spans="1:2" x14ac:dyDescent="0.2">
      <c r="A1" s="319" t="s">
        <v>189</v>
      </c>
      <c r="B1" s="320"/>
    </row>
    <row r="2" spans="1:2" x14ac:dyDescent="0.2">
      <c r="A2" s="321"/>
      <c r="B2" s="322"/>
    </row>
    <row r="3" spans="1:2" ht="18" x14ac:dyDescent="0.35">
      <c r="A3" s="218" t="s">
        <v>190</v>
      </c>
      <c r="B3" s="219" t="s">
        <v>191</v>
      </c>
    </row>
    <row r="4" spans="1:2" ht="18" x14ac:dyDescent="0.35">
      <c r="A4" s="220" t="s">
        <v>192</v>
      </c>
      <c r="B4" s="221">
        <v>60000</v>
      </c>
    </row>
    <row r="5" spans="1:2" ht="18" x14ac:dyDescent="0.35">
      <c r="A5" s="220" t="s">
        <v>193</v>
      </c>
      <c r="B5" s="221">
        <v>60000</v>
      </c>
    </row>
    <row r="6" spans="1:2" ht="18" x14ac:dyDescent="0.35">
      <c r="A6" s="220" t="s">
        <v>194</v>
      </c>
      <c r="B6" s="221">
        <v>20000</v>
      </c>
    </row>
    <row r="7" spans="1:2" ht="18" x14ac:dyDescent="0.35">
      <c r="A7" s="220" t="s">
        <v>195</v>
      </c>
      <c r="B7" s="221">
        <v>25000</v>
      </c>
    </row>
    <row r="8" spans="1:2" ht="18" x14ac:dyDescent="0.35">
      <c r="A8" s="220" t="s">
        <v>196</v>
      </c>
      <c r="B8" s="221">
        <v>25000</v>
      </c>
    </row>
    <row r="9" spans="1:2" ht="18" x14ac:dyDescent="0.35">
      <c r="A9" s="222" t="s">
        <v>197</v>
      </c>
      <c r="B9" s="221">
        <v>10000</v>
      </c>
    </row>
    <row r="10" spans="1:2" ht="18" x14ac:dyDescent="0.35">
      <c r="A10" s="220" t="s">
        <v>198</v>
      </c>
      <c r="B10" s="221">
        <v>10000</v>
      </c>
    </row>
    <row r="11" spans="1:2" ht="18.600000000000001" thickBot="1" x14ac:dyDescent="0.4">
      <c r="A11" s="222" t="s">
        <v>199</v>
      </c>
      <c r="B11" s="221">
        <v>35000</v>
      </c>
    </row>
    <row r="12" spans="1:2" ht="18.600000000000001" thickBot="1" x14ac:dyDescent="0.4">
      <c r="A12" s="223" t="s">
        <v>200</v>
      </c>
      <c r="B12" s="224">
        <f>SUM(B4:B11)</f>
        <v>245000</v>
      </c>
    </row>
  </sheetData>
  <mergeCells count="1">
    <mergeCell ref="A1:B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13</vt:i4>
      </vt:variant>
    </vt:vector>
  </HeadingPairs>
  <TitlesOfParts>
    <vt:vector size="13" baseType="lpstr">
      <vt:lpstr>Assumptions</vt:lpstr>
      <vt:lpstr> Cash Flow Statement</vt:lpstr>
      <vt:lpstr>Balance Sheet</vt:lpstr>
      <vt:lpstr>Graphs</vt:lpstr>
      <vt:lpstr>Profit &amp; Loss Account</vt:lpstr>
      <vt:lpstr>Computations 2</vt:lpstr>
      <vt:lpstr>Computations 1</vt:lpstr>
      <vt:lpstr>1.Revenues and Costs of Sales</vt:lpstr>
      <vt:lpstr>2.Launch costs</vt:lpstr>
      <vt:lpstr>3.Annual Costs</vt:lpstr>
      <vt:lpstr>4.Personnel</vt:lpstr>
      <vt:lpstr>5.Investments</vt:lpstr>
      <vt:lpstr>Template</vt:lpstr>
    </vt:vector>
  </TitlesOfParts>
  <Company>Deloitte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Corrado Patierno</dc:creator>
  <cp:lastModifiedBy>Corrado Patierno</cp:lastModifiedBy>
  <cp:lastPrinted>2019-04-25T06:26:32Z</cp:lastPrinted>
  <dcterms:created xsi:type="dcterms:W3CDTF">2016-01-09T15:19:46Z</dcterms:created>
  <dcterms:modified xsi:type="dcterms:W3CDTF">2021-05-19T10:29:25Z</dcterms:modified>
</cp:coreProperties>
</file>